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D7DF" lockStructure="1"/>
  <bookViews>
    <workbookView xWindow="0" yWindow="0" windowWidth="12390" windowHeight="8175"/>
  </bookViews>
  <sheets>
    <sheet name="Информация" sheetId="11" r:id="rId1"/>
    <sheet name="Приход" sheetId="4" r:id="rId2"/>
    <sheet name="Расход" sheetId="5" r:id="rId3"/>
    <sheet name="Обороты" sheetId="6" r:id="rId4"/>
    <sheet name="Проводки" sheetId="7" r:id="rId5"/>
    <sheet name="Константы" sheetId="8" r:id="rId6"/>
    <sheet name="Амортизация" sheetId="9" r:id="rId7"/>
    <sheet name="Курсовая разница" sheetId="10" r:id="rId8"/>
  </sheets>
  <definedNames>
    <definedName name="НДС">Константы!$B$1</definedName>
  </definedNames>
  <calcPr calcId="114210"/>
</workbook>
</file>

<file path=xl/calcChain.xml><?xml version="1.0" encoding="utf-8"?>
<calcChain xmlns="http://schemas.openxmlformats.org/spreadsheetml/2006/main">
  <c r="K35" i="10" l="1"/>
  <c r="K33" i="10"/>
  <c r="K32" i="10"/>
  <c r="K30" i="10"/>
  <c r="K36" i="10" s="1"/>
  <c r="K37" i="10" s="1"/>
  <c r="K22" i="10"/>
  <c r="K20" i="10"/>
  <c r="K19" i="10"/>
  <c r="K17" i="10"/>
  <c r="K23" i="10" s="1"/>
  <c r="K24" i="10" s="1"/>
  <c r="K9" i="10"/>
  <c r="K10" i="10" s="1"/>
  <c r="K11" i="10" s="1"/>
  <c r="K5" i="10"/>
  <c r="K7" i="10"/>
  <c r="K6" i="10"/>
  <c r="K4" i="10"/>
  <c r="K8" i="10"/>
  <c r="M1" i="9"/>
  <c r="M5" i="9"/>
  <c r="M4" i="9"/>
  <c r="K4" i="9" s="1"/>
  <c r="I1" i="9"/>
  <c r="M7" i="9" s="1"/>
  <c r="G1" i="9"/>
  <c r="I5" i="9" s="1"/>
  <c r="H5" i="9"/>
  <c r="H4" i="9"/>
  <c r="H9" i="9" s="1"/>
  <c r="K3" i="9"/>
  <c r="J3" i="9"/>
  <c r="G3" i="9"/>
  <c r="F3" i="9"/>
  <c r="F4" i="9" s="1"/>
  <c r="F5" i="9" s="1"/>
  <c r="B4" i="9"/>
  <c r="C3" i="9"/>
  <c r="C4" i="9" s="1"/>
  <c r="B3" i="9"/>
  <c r="D4" i="9"/>
  <c r="D5" i="9" s="1"/>
  <c r="D9" i="9" s="1"/>
  <c r="E4" i="9"/>
  <c r="D2" i="4"/>
  <c r="E2" i="4" s="1"/>
  <c r="D15" i="4"/>
  <c r="E15" i="4" s="1"/>
  <c r="D5" i="4"/>
  <c r="E5" i="4" s="1"/>
  <c r="D12" i="4"/>
  <c r="E12" i="4" s="1"/>
  <c r="D18" i="4"/>
  <c r="E18" i="4" s="1"/>
  <c r="D23" i="4"/>
  <c r="E23" i="4" s="1"/>
  <c r="D3" i="4"/>
  <c r="E3" i="4"/>
  <c r="D22" i="4"/>
  <c r="E22" i="4"/>
  <c r="D16" i="4"/>
  <c r="E16" i="4" s="1"/>
  <c r="D28" i="4"/>
  <c r="E28" i="4" s="1"/>
  <c r="D6" i="4"/>
  <c r="E6" i="4" s="1"/>
  <c r="D9" i="4"/>
  <c r="E9" i="4" s="1"/>
  <c r="D8" i="4"/>
  <c r="E8" i="4" s="1"/>
  <c r="D21" i="4"/>
  <c r="E21" i="4" s="1"/>
  <c r="D7" i="4"/>
  <c r="E7" i="4"/>
  <c r="D20" i="4"/>
  <c r="E20" i="4"/>
  <c r="D25" i="4"/>
  <c r="E25" i="4" s="1"/>
  <c r="D29" i="4"/>
  <c r="E29" i="4" s="1"/>
  <c r="D4" i="4"/>
  <c r="E4" i="4" s="1"/>
  <c r="D24" i="4"/>
  <c r="E24" i="4" s="1"/>
  <c r="D10" i="4"/>
  <c r="E10" i="4"/>
  <c r="D27" i="4"/>
  <c r="E27" i="4" s="1"/>
  <c r="D11" i="4"/>
  <c r="E11" i="4"/>
  <c r="D13" i="4"/>
  <c r="E13" i="4"/>
  <c r="D14" i="4"/>
  <c r="E14" i="4" s="1"/>
  <c r="D26" i="4"/>
  <c r="E26" i="4" s="1"/>
  <c r="D17" i="4"/>
  <c r="E17" i="4" s="1"/>
  <c r="D19" i="4"/>
  <c r="E19" i="4" s="1"/>
  <c r="D30" i="4"/>
  <c r="E30" i="4" s="1"/>
  <c r="G13" i="6"/>
  <c r="H13" i="6" s="1"/>
  <c r="I21" i="6"/>
  <c r="J21" i="6"/>
  <c r="I20" i="6"/>
  <c r="J20" i="6"/>
  <c r="I12" i="6"/>
  <c r="J12" i="6"/>
  <c r="I7" i="6"/>
  <c r="J7" i="6"/>
  <c r="I6" i="6"/>
  <c r="J6" i="6"/>
  <c r="I19" i="6"/>
  <c r="J19" i="6" s="1"/>
  <c r="I18" i="6"/>
  <c r="G18" i="6"/>
  <c r="K18" i="6" s="1"/>
  <c r="L18" i="6" s="1"/>
  <c r="I17" i="6"/>
  <c r="G17" i="6"/>
  <c r="K17" i="6" s="1"/>
  <c r="L17" i="6" s="1"/>
  <c r="I15" i="6"/>
  <c r="I14" i="6"/>
  <c r="J14" i="6" s="1"/>
  <c r="I13" i="6"/>
  <c r="K13" i="6"/>
  <c r="L13" i="6"/>
  <c r="I11" i="6"/>
  <c r="I9" i="6"/>
  <c r="J9" i="6"/>
  <c r="I8" i="6"/>
  <c r="J8" i="6" s="1"/>
  <c r="J3" i="6" s="1"/>
  <c r="G7" i="6"/>
  <c r="K7" i="6"/>
  <c r="L7" i="6"/>
  <c r="I5" i="6"/>
  <c r="J5" i="6"/>
  <c r="G21" i="6"/>
  <c r="H21" i="6"/>
  <c r="G12" i="6"/>
  <c r="G8" i="6"/>
  <c r="H8" i="6" s="1"/>
  <c r="M8" i="6" s="1"/>
  <c r="H7" i="6"/>
  <c r="F21" i="6"/>
  <c r="F20" i="6"/>
  <c r="F19" i="6"/>
  <c r="F18" i="6"/>
  <c r="F17" i="6"/>
  <c r="F15" i="6"/>
  <c r="F14" i="6"/>
  <c r="F13" i="6"/>
  <c r="F12" i="6"/>
  <c r="F11" i="6"/>
  <c r="F9" i="6"/>
  <c r="F8" i="6"/>
  <c r="F7" i="6"/>
  <c r="F6" i="6"/>
  <c r="F5" i="6"/>
  <c r="K21" i="6"/>
  <c r="L21" i="6" s="1"/>
  <c r="G20" i="6"/>
  <c r="H20" i="6" s="1"/>
  <c r="M20" i="6" s="1"/>
  <c r="G19" i="6"/>
  <c r="G15" i="6"/>
  <c r="H15" i="6"/>
  <c r="G14" i="6"/>
  <c r="H14" i="6" s="1"/>
  <c r="G11" i="6"/>
  <c r="H11" i="6"/>
  <c r="G9" i="6"/>
  <c r="H9" i="6" s="1"/>
  <c r="M7" i="6"/>
  <c r="G6" i="6"/>
  <c r="H6" i="6" s="1"/>
  <c r="G5" i="6"/>
  <c r="M5" i="6" s="1"/>
  <c r="H5" i="6"/>
  <c r="B18" i="5" a="1"/>
  <c r="B18" i="5" s="1"/>
  <c r="B17" i="5" a="1"/>
  <c r="B17" i="5"/>
  <c r="B16" i="5" a="1"/>
  <c r="B16" i="5" s="1"/>
  <c r="B15" i="5" a="1"/>
  <c r="B15" i="5"/>
  <c r="B14" i="5" a="1"/>
  <c r="B14" i="5" s="1"/>
  <c r="B13" i="5" a="1"/>
  <c r="B13" i="5"/>
  <c r="B12" i="5" a="1"/>
  <c r="B12" i="5" s="1"/>
  <c r="B11" i="5" a="1"/>
  <c r="B11" i="5"/>
  <c r="B10" i="5" a="1"/>
  <c r="B10" i="5" s="1"/>
  <c r="B9" i="5" a="1"/>
  <c r="B9" i="5"/>
  <c r="B8" i="5" a="1"/>
  <c r="B8" i="5" s="1"/>
  <c r="B7" i="5" a="1"/>
  <c r="B7" i="5"/>
  <c r="B6" i="5" a="1"/>
  <c r="B6" i="5" s="1"/>
  <c r="B5" i="5" a="1"/>
  <c r="B5" i="5"/>
  <c r="B4" i="5" a="1"/>
  <c r="B4" i="5" s="1"/>
  <c r="B3" i="5" a="1"/>
  <c r="B3" i="5"/>
  <c r="B2" i="5" a="1"/>
  <c r="B2" i="5" s="1"/>
  <c r="D20" i="6"/>
  <c r="F14" i="4" s="1"/>
  <c r="D19" i="6"/>
  <c r="F13" i="4" s="1"/>
  <c r="D15" i="6"/>
  <c r="F10" i="4" s="1"/>
  <c r="D11" i="6"/>
  <c r="F8" i="4" s="1"/>
  <c r="D9" i="6"/>
  <c r="F6" i="4" s="1"/>
  <c r="D6" i="6"/>
  <c r="F5" i="4" s="1"/>
  <c r="D21" i="6"/>
  <c r="F17" i="4" s="1"/>
  <c r="D18" i="6"/>
  <c r="F11" i="4" s="1"/>
  <c r="D17" i="6"/>
  <c r="F27" i="4" s="1"/>
  <c r="D13" i="6"/>
  <c r="F25" i="4" s="1"/>
  <c r="D14" i="6"/>
  <c r="F4" i="4" s="1"/>
  <c r="D12" i="6"/>
  <c r="F7" i="4" s="1"/>
  <c r="D8" i="6"/>
  <c r="F16" i="4" s="1"/>
  <c r="D7" i="6"/>
  <c r="F3" i="4" s="1"/>
  <c r="D5" i="6"/>
  <c r="F2" i="4" s="1"/>
  <c r="B3" i="4" a="1"/>
  <c r="B3" i="4"/>
  <c r="B4" i="4" a="1"/>
  <c r="B4" i="4"/>
  <c r="B5" i="4" a="1"/>
  <c r="B5" i="4"/>
  <c r="B6" i="4" a="1"/>
  <c r="B6" i="4"/>
  <c r="B7" i="4" a="1"/>
  <c r="B7" i="4"/>
  <c r="B8" i="4" a="1"/>
  <c r="B8" i="4"/>
  <c r="B9" i="4" a="1"/>
  <c r="B9" i="4"/>
  <c r="B10" i="4" a="1"/>
  <c r="B10" i="4"/>
  <c r="B11" i="4" a="1"/>
  <c r="B11" i="4"/>
  <c r="B12" i="4" a="1"/>
  <c r="B12" i="4"/>
  <c r="B13" i="4" a="1"/>
  <c r="B13" i="4"/>
  <c r="B14" i="4" a="1"/>
  <c r="B14" i="4"/>
  <c r="B15" i="4" a="1"/>
  <c r="B15" i="4"/>
  <c r="B16" i="4" a="1"/>
  <c r="B16" i="4"/>
  <c r="B17" i="4" a="1"/>
  <c r="B17" i="4"/>
  <c r="B18" i="4" a="1"/>
  <c r="B18" i="4"/>
  <c r="B19" i="4" a="1"/>
  <c r="B19" i="4"/>
  <c r="B20" i="4" a="1"/>
  <c r="B20" i="4"/>
  <c r="B21" i="4" a="1"/>
  <c r="B21" i="4"/>
  <c r="B22" i="4" a="1"/>
  <c r="B22" i="4"/>
  <c r="B23" i="4" a="1"/>
  <c r="B23" i="4"/>
  <c r="B24" i="4" a="1"/>
  <c r="B24" i="4"/>
  <c r="B25" i="4" a="1"/>
  <c r="B25" i="4"/>
  <c r="B26" i="4" a="1"/>
  <c r="B26" i="4"/>
  <c r="B27" i="4" a="1"/>
  <c r="B27" i="4"/>
  <c r="B28" i="4" a="1"/>
  <c r="B28" i="4"/>
  <c r="B29" i="4" a="1"/>
  <c r="B29" i="4"/>
  <c r="B30" i="4" a="1"/>
  <c r="B30" i="4"/>
  <c r="B2" i="4" a="1"/>
  <c r="B2" i="4"/>
  <c r="M11" i="6"/>
  <c r="H19" i="6"/>
  <c r="M19" i="6"/>
  <c r="K12" i="6"/>
  <c r="L12" i="6"/>
  <c r="M15" i="6"/>
  <c r="M21" i="6"/>
  <c r="K11" i="6"/>
  <c r="L11" i="6" s="1"/>
  <c r="K15" i="6"/>
  <c r="L15" i="6"/>
  <c r="K20" i="6"/>
  <c r="L20" i="6" s="1"/>
  <c r="J18" i="6"/>
  <c r="K8" i="6"/>
  <c r="L8" i="6"/>
  <c r="J13" i="6"/>
  <c r="J15" i="6"/>
  <c r="J11" i="6"/>
  <c r="J17" i="6"/>
  <c r="K5" i="6"/>
  <c r="L5" i="6"/>
  <c r="K9" i="6"/>
  <c r="L9" i="6" s="1"/>
  <c r="K19" i="6"/>
  <c r="L19" i="6" s="1"/>
  <c r="F3" i="6"/>
  <c r="G2" i="4" l="1"/>
  <c r="G4" i="4"/>
  <c r="G17" i="4"/>
  <c r="H17" i="4"/>
  <c r="G10" i="4"/>
  <c r="O15" i="6" s="1"/>
  <c r="H10" i="4"/>
  <c r="N15" i="6" s="1"/>
  <c r="K5" i="9"/>
  <c r="G3" i="4"/>
  <c r="H3" i="4" s="1"/>
  <c r="G25" i="4"/>
  <c r="G5" i="4"/>
  <c r="H5" i="4"/>
  <c r="H13" i="4"/>
  <c r="N19" i="6" s="1"/>
  <c r="G13" i="4"/>
  <c r="O19" i="6" s="1"/>
  <c r="G16" i="4"/>
  <c r="G27" i="4"/>
  <c r="O17" i="6" s="1"/>
  <c r="H27" i="4"/>
  <c r="N17" i="6" s="1"/>
  <c r="H6" i="4"/>
  <c r="G6" i="4"/>
  <c r="G14" i="4"/>
  <c r="H14" i="4"/>
  <c r="C5" i="9"/>
  <c r="C9" i="9" s="1"/>
  <c r="G7" i="4"/>
  <c r="G11" i="4"/>
  <c r="O18" i="6" s="1"/>
  <c r="G8" i="4"/>
  <c r="H8" i="4"/>
  <c r="E9" i="9"/>
  <c r="B5" i="9"/>
  <c r="B9" i="9" s="1"/>
  <c r="K12" i="10"/>
  <c r="H12" i="6"/>
  <c r="H3" i="6" s="1"/>
  <c r="F29" i="4"/>
  <c r="F28" i="4"/>
  <c r="E5" i="9"/>
  <c r="I4" i="9"/>
  <c r="K34" i="10"/>
  <c r="K38" i="10" s="1"/>
  <c r="F30" i="4"/>
  <c r="F19" i="4"/>
  <c r="F20" i="4"/>
  <c r="F22" i="4"/>
  <c r="M6" i="9"/>
  <c r="M9" i="9" s="1"/>
  <c r="K21" i="10"/>
  <c r="K25" i="10" s="1"/>
  <c r="K31" i="10"/>
  <c r="H17" i="6"/>
  <c r="M17" i="6" s="1"/>
  <c r="M13" i="6"/>
  <c r="F26" i="4"/>
  <c r="F21" i="4"/>
  <c r="F23" i="4"/>
  <c r="F18" i="4"/>
  <c r="F12" i="4"/>
  <c r="F9" i="9"/>
  <c r="L4" i="9"/>
  <c r="K18" i="10"/>
  <c r="K14" i="6"/>
  <c r="L14" i="6" s="1"/>
  <c r="L3" i="6" s="1"/>
  <c r="K6" i="6"/>
  <c r="L6" i="6" s="1"/>
  <c r="M9" i="6"/>
  <c r="M14" i="6"/>
  <c r="M6" i="6"/>
  <c r="H18" i="6"/>
  <c r="M18" i="6" s="1"/>
  <c r="F24" i="4"/>
  <c r="F9" i="4"/>
  <c r="F15" i="4"/>
  <c r="G9" i="4" l="1"/>
  <c r="H9" i="4"/>
  <c r="N9" i="6" s="1"/>
  <c r="G12" i="4"/>
  <c r="H12" i="4"/>
  <c r="G26" i="4"/>
  <c r="H26" i="4"/>
  <c r="N20" i="6" s="1"/>
  <c r="G22" i="4"/>
  <c r="H22" i="4"/>
  <c r="N7" i="6" s="1"/>
  <c r="G28" i="4"/>
  <c r="H28" i="4"/>
  <c r="G24" i="4"/>
  <c r="H24" i="4"/>
  <c r="G18" i="4"/>
  <c r="H18" i="4"/>
  <c r="N6" i="6" s="1"/>
  <c r="G29" i="4"/>
  <c r="H29" i="4"/>
  <c r="H11" i="4"/>
  <c r="N18" i="6" s="1"/>
  <c r="O6" i="6"/>
  <c r="G23" i="4"/>
  <c r="H23" i="4"/>
  <c r="O8" i="6"/>
  <c r="O13" i="6"/>
  <c r="O7" i="6"/>
  <c r="O14" i="6"/>
  <c r="G20" i="4"/>
  <c r="H20" i="4" s="1"/>
  <c r="O20" i="6"/>
  <c r="H4" i="4"/>
  <c r="G19" i="4"/>
  <c r="H19" i="4" s="1"/>
  <c r="N21" i="6" s="1"/>
  <c r="I9" i="9"/>
  <c r="G4" i="9"/>
  <c r="M12" i="6"/>
  <c r="O9" i="6"/>
  <c r="H15" i="4"/>
  <c r="G15" i="4"/>
  <c r="O5" i="6" s="1"/>
  <c r="G21" i="4"/>
  <c r="O11" i="6" s="1"/>
  <c r="H21" i="4"/>
  <c r="N11" i="6" s="1"/>
  <c r="J4" i="9"/>
  <c r="G30" i="4"/>
  <c r="H30" i="4"/>
  <c r="H7" i="4"/>
  <c r="H16" i="4"/>
  <c r="N8" i="6" s="1"/>
  <c r="H25" i="4"/>
  <c r="K6" i="9"/>
  <c r="H2" i="4"/>
  <c r="N12" i="6" l="1"/>
  <c r="L5" i="9"/>
  <c r="J5" i="9"/>
  <c r="G5" i="9"/>
  <c r="G9" i="9" s="1"/>
  <c r="N5" i="6"/>
  <c r="O21" i="6"/>
  <c r="O12" i="6"/>
  <c r="N13" i="6"/>
  <c r="N14" i="6"/>
  <c r="K7" i="9"/>
  <c r="K9" i="9"/>
  <c r="L6" i="9" l="1"/>
  <c r="J6" i="9" s="1"/>
  <c r="L7" i="9" l="1"/>
  <c r="L9" i="9" s="1"/>
  <c r="J7" i="9" l="1"/>
  <c r="J9" i="9" s="1"/>
</calcChain>
</file>

<file path=xl/sharedStrings.xml><?xml version="1.0" encoding="utf-8"?>
<sst xmlns="http://schemas.openxmlformats.org/spreadsheetml/2006/main" count="227" uniqueCount="110">
  <si>
    <t>Код</t>
  </si>
  <si>
    <t>Наименование</t>
  </si>
  <si>
    <t>Количество</t>
  </si>
  <si>
    <t>Стоимость единицы</t>
  </si>
  <si>
    <t>Сумма по документу</t>
  </si>
  <si>
    <t>Включает НДС?</t>
  </si>
  <si>
    <t>Сумма без НДС</t>
  </si>
  <si>
    <t>НДС</t>
  </si>
  <si>
    <t>Дебет</t>
  </si>
  <si>
    <t>Кредит</t>
  </si>
  <si>
    <t>Сумма</t>
  </si>
  <si>
    <t>Комментарий</t>
  </si>
  <si>
    <t>Канцелярские товары</t>
  </si>
  <si>
    <t>Ручка</t>
  </si>
  <si>
    <t>Карандаш</t>
  </si>
  <si>
    <t>Стерка</t>
  </si>
  <si>
    <t>Линейка</t>
  </si>
  <si>
    <t>Циркуль</t>
  </si>
  <si>
    <t>Мыло</t>
  </si>
  <si>
    <t>Крем</t>
  </si>
  <si>
    <t>Зубная паста</t>
  </si>
  <si>
    <t>Игрушки</t>
  </si>
  <si>
    <t>Конструктор</t>
  </si>
  <si>
    <t>Кукла</t>
  </si>
  <si>
    <t>Телефон</t>
  </si>
  <si>
    <t>Мебель</t>
  </si>
  <si>
    <t>Медведь</t>
  </si>
  <si>
    <t>100101</t>
  </si>
  <si>
    <t>100102</t>
  </si>
  <si>
    <t>100103</t>
  </si>
  <si>
    <t>100104</t>
  </si>
  <si>
    <t>100105</t>
  </si>
  <si>
    <t>210201</t>
  </si>
  <si>
    <t>210202</t>
  </si>
  <si>
    <t>210203</t>
  </si>
  <si>
    <t>210204</t>
  </si>
  <si>
    <t>305101</t>
  </si>
  <si>
    <t>305102</t>
  </si>
  <si>
    <t>305103</t>
  </si>
  <si>
    <t>305104</t>
  </si>
  <si>
    <t>305105</t>
  </si>
  <si>
    <t>210205</t>
  </si>
  <si>
    <t>Предеметы гигиены</t>
  </si>
  <si>
    <t>Зубная щетка</t>
  </si>
  <si>
    <t>Шампунь</t>
  </si>
  <si>
    <t>Расход</t>
  </si>
  <si>
    <t>На начало периода</t>
  </si>
  <si>
    <t>Приход</t>
  </si>
  <si>
    <t>Средняя цена</t>
  </si>
  <si>
    <t>ИТОГО</t>
  </si>
  <si>
    <t>На конец периода</t>
  </si>
  <si>
    <t>Общий размер НДС</t>
  </si>
  <si>
    <t>Сумарные затраты</t>
  </si>
  <si>
    <t>Время (год)</t>
  </si>
  <si>
    <t xml:space="preserve">НА = </t>
  </si>
  <si>
    <t xml:space="preserve">КА = </t>
  </si>
  <si>
    <t xml:space="preserve">АП = </t>
  </si>
  <si>
    <t xml:space="preserve">АП (без учета КА) = </t>
  </si>
  <si>
    <t xml:space="preserve">10% от НС = </t>
  </si>
  <si>
    <t>Остаточн. стоимость (АПЛ)</t>
  </si>
  <si>
    <t>Остаточн. стоимотсь (линейн., ручн.)</t>
  </si>
  <si>
    <t>Линейный (ручной)</t>
  </si>
  <si>
    <t>Линейный (АПЛ)</t>
  </si>
  <si>
    <t>Остаточн. стоимотсь (по числу лет, ручной)</t>
  </si>
  <si>
    <t>Остаточн. стоимотсь (АСЧ)</t>
  </si>
  <si>
    <t>По числу лет (АСЧ)</t>
  </si>
  <si>
    <t>Остат. стоимость (ум. остат. ручной)</t>
  </si>
  <si>
    <t>Остат. стоим. (ДДОБ)</t>
  </si>
  <si>
    <t>Уменьш. остат. (ручной)</t>
  </si>
  <si>
    <t>Уменьш. остат. (ДДОБ)</t>
  </si>
  <si>
    <t>По числу лет (ручной)</t>
  </si>
  <si>
    <t xml:space="preserve">НС = </t>
  </si>
  <si>
    <t>№ продажи</t>
  </si>
  <si>
    <t>Валюта</t>
  </si>
  <si>
    <t>S (тыс)</t>
  </si>
  <si>
    <t>P</t>
  </si>
  <si>
    <t>R</t>
  </si>
  <si>
    <t>Дата по договору</t>
  </si>
  <si>
    <t>Дата отгрузки</t>
  </si>
  <si>
    <t>Ставка НДС</t>
  </si>
  <si>
    <t>JPY</t>
  </si>
  <si>
    <t>EUR</t>
  </si>
  <si>
    <t>SEK</t>
  </si>
  <si>
    <t>Курс валют</t>
  </si>
  <si>
    <t>Продажа № 1</t>
  </si>
  <si>
    <t>Содержание хозяйственной операции</t>
  </si>
  <si>
    <t>Сумма, рублей</t>
  </si>
  <si>
    <t>Корреспонденция счетов</t>
  </si>
  <si>
    <t>Выручка от реализации (С НДС)</t>
  </si>
  <si>
    <t>Начисление НДС</t>
  </si>
  <si>
    <t>Списание проданных товаров</t>
  </si>
  <si>
    <t>Расходы на продажу</t>
  </si>
  <si>
    <t>Финансовый результат от реализации товаров</t>
  </si>
  <si>
    <t>Поступление ден. средств от покупателя</t>
  </si>
  <si>
    <t>Суммовая разница (с НДС)</t>
  </si>
  <si>
    <t>НДС по суммовой разнице</t>
  </si>
  <si>
    <t>Уточнение финансового результата по товарам</t>
  </si>
  <si>
    <t>Дата 1</t>
  </si>
  <si>
    <t>Дата 2</t>
  </si>
  <si>
    <t>90.1</t>
  </si>
  <si>
    <t>90.3</t>
  </si>
  <si>
    <t>90.2</t>
  </si>
  <si>
    <t>90.9</t>
  </si>
  <si>
    <t>90.9/99</t>
  </si>
  <si>
    <t>99/90.9</t>
  </si>
  <si>
    <t>Продажа № 2</t>
  </si>
  <si>
    <t>Продажа № 3</t>
  </si>
  <si>
    <t>Практическая работа выполнена на сайте МатБюро (https://www.matburo.ru/)</t>
  </si>
  <si>
    <t>Другие решенные задания по Excel на странице: https://www.matburo.ru/sub_appear.php?p=l_excel  </t>
  </si>
  <si>
    <t>Выполняем любые практические работы на заказ.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</si>
</sst>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44" formatCode="_-* #,##0.00\ &quot;₽&quot;_-;\-* #,##0.00\ &quot;₽&quot;_-;_-* &quot;-&quot;??\ &quot;₽&quot;_-;_-@_-"/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0" borderId="0" xfId="0" applyNumberFormat="1" applyAlignment="1"/>
    <xf numFmtId="2" fontId="0" fillId="0" borderId="0" xfId="0" applyNumberFormat="1" applyAlignment="1"/>
    <xf numFmtId="2" fontId="0" fillId="0" borderId="0" xfId="0" applyNumberFormat="1"/>
    <xf numFmtId="49" fontId="0" fillId="0" borderId="0" xfId="0" applyNumberFormat="1"/>
    <xf numFmtId="49" fontId="2" fillId="0" borderId="0" xfId="0" applyNumberFormat="1" applyFont="1" applyAlignment="1"/>
    <xf numFmtId="49" fontId="3" fillId="3" borderId="0" xfId="0" applyNumberFormat="1" applyFont="1" applyFill="1" applyAlignment="1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8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 indent="1"/>
    </xf>
    <xf numFmtId="9" fontId="0" fillId="0" borderId="0" xfId="1" applyFont="1" applyAlignment="1">
      <alignment horizontal="right" vertical="center" inden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 applyAlignment="1">
      <alignment vertical="center"/>
    </xf>
    <xf numFmtId="44" fontId="0" fillId="0" borderId="1" xfId="0" applyNumberFormat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5" borderId="5" xfId="2" applyFill="1" applyBorder="1"/>
    <xf numFmtId="0" fontId="1" fillId="5" borderId="6" xfId="2" applyFill="1" applyBorder="1"/>
    <xf numFmtId="0" fontId="1" fillId="5" borderId="7" xfId="2" applyFill="1" applyBorder="1"/>
    <xf numFmtId="0" fontId="1" fillId="5" borderId="8" xfId="2" applyFill="1" applyBorder="1"/>
    <xf numFmtId="0" fontId="1" fillId="5" borderId="0" xfId="2" applyFill="1" applyBorder="1"/>
    <xf numFmtId="0" fontId="1" fillId="5" borderId="9" xfId="2" applyFill="1" applyBorder="1"/>
    <xf numFmtId="0" fontId="1" fillId="5" borderId="10" xfId="2" applyFill="1" applyBorder="1"/>
    <xf numFmtId="0" fontId="1" fillId="5" borderId="3" xfId="2" applyFill="1" applyBorder="1"/>
    <xf numFmtId="0" fontId="1" fillId="5" borderId="11" xfId="2" applyFill="1" applyBorder="1"/>
  </cellXfs>
  <cellStyles count="3">
    <cellStyle name="Обычный" xfId="0" builtinId="0"/>
    <cellStyle name="Обычный_Информация" xfId="2"/>
    <cellStyle name="Процентный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"/>
  <sheetViews>
    <sheetView tabSelected="1" workbookViewId="0">
      <selection activeCell="B3" sqref="B3:K5"/>
    </sheetView>
  </sheetViews>
  <sheetFormatPr defaultRowHeight="15" x14ac:dyDescent="0.25"/>
  <sheetData>
    <row r="2" spans="2:11" ht="15.75" thickBot="1" x14ac:dyDescent="0.3"/>
    <row r="3" spans="2:11" x14ac:dyDescent="0.25">
      <c r="B3" s="44" t="s">
        <v>107</v>
      </c>
      <c r="C3" s="45"/>
      <c r="D3" s="45"/>
      <c r="E3" s="45"/>
      <c r="F3" s="45"/>
      <c r="G3" s="45"/>
      <c r="H3" s="45"/>
      <c r="I3" s="45"/>
      <c r="J3" s="45"/>
      <c r="K3" s="46"/>
    </row>
    <row r="4" spans="2:11" x14ac:dyDescent="0.25">
      <c r="B4" s="47" t="s">
        <v>108</v>
      </c>
      <c r="C4" s="48"/>
      <c r="D4" s="48"/>
      <c r="E4" s="48"/>
      <c r="F4" s="48"/>
      <c r="G4" s="48"/>
      <c r="H4" s="48"/>
      <c r="I4" s="48"/>
      <c r="J4" s="48"/>
      <c r="K4" s="49"/>
    </row>
    <row r="5" spans="2:11" ht="15.75" thickBot="1" x14ac:dyDescent="0.3">
      <c r="B5" s="50" t="s">
        <v>109</v>
      </c>
      <c r="C5" s="51"/>
      <c r="D5" s="51"/>
      <c r="E5" s="51"/>
      <c r="F5" s="51"/>
      <c r="G5" s="51"/>
      <c r="H5" s="51"/>
      <c r="I5" s="51"/>
      <c r="J5" s="51"/>
      <c r="K5" s="52"/>
    </row>
  </sheetData>
  <sheetProtection password="D7DF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G2" sqref="G2"/>
    </sheetView>
  </sheetViews>
  <sheetFormatPr defaultRowHeight="15" x14ac:dyDescent="0.25"/>
  <cols>
    <col min="1" max="1" width="9.140625" style="3"/>
    <col min="2" max="2" width="15.7109375" style="3" customWidth="1"/>
    <col min="3" max="3" width="12.140625" style="4" customWidth="1"/>
    <col min="4" max="4" width="10.7109375" style="4" customWidth="1"/>
    <col min="5" max="5" width="11.85546875" style="2" customWidth="1"/>
    <col min="6" max="6" width="11.28515625" style="2" customWidth="1"/>
    <col min="7" max="7" width="9.5703125" style="2" bestFit="1" customWidth="1"/>
    <col min="8" max="8" width="9.140625" style="2"/>
    <col min="10" max="10" width="20.7109375" customWidth="1"/>
    <col min="11" max="11" width="10.42578125" customWidth="1"/>
  </cols>
  <sheetData>
    <row r="1" spans="1:8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x14ac:dyDescent="0.25">
      <c r="A2" s="13" t="s">
        <v>27</v>
      </c>
      <c r="B2" s="15" t="str">
        <f t="array" ref="B2">VLOOKUP(A2,Обороты!$A$4:$B$54,2,0)</f>
        <v>Ручка</v>
      </c>
      <c r="C2" s="14">
        <v>5</v>
      </c>
      <c r="D2" s="19">
        <f>VLOOKUP(A2,Обороты!$A$4:$C$54,3,0)</f>
        <v>15</v>
      </c>
      <c r="E2" s="19">
        <f>C2*D2</f>
        <v>75</v>
      </c>
      <c r="F2" s="2" t="b">
        <f>VLOOKUP(A2,Обороты!$A$4:$D$54,4,0)</f>
        <v>1</v>
      </c>
      <c r="G2" s="19">
        <f t="shared" ref="G2:G30" si="0">IF(F2,E2/(1+НДС),E2)</f>
        <v>63.559322033898312</v>
      </c>
      <c r="H2" s="19">
        <f t="shared" ref="H2:H30" si="1">IF(F2,E2-G2,E2*НДС)</f>
        <v>11.440677966101688</v>
      </c>
    </row>
    <row r="3" spans="1:8" x14ac:dyDescent="0.25">
      <c r="A3" s="13" t="s">
        <v>29</v>
      </c>
      <c r="B3" s="15" t="str">
        <f t="array" ref="B3">VLOOKUP(A3,Обороты!$A$4:$B$54,2,0)</f>
        <v>Стерка</v>
      </c>
      <c r="C3" s="14">
        <v>2</v>
      </c>
      <c r="D3" s="19">
        <f>VLOOKUP(A3,Обороты!$A$4:$C$54,3,0)</f>
        <v>5</v>
      </c>
      <c r="E3" s="19">
        <f t="shared" ref="E3:E30" si="2">C3*D3</f>
        <v>10</v>
      </c>
      <c r="F3" s="2" t="b">
        <f>VLOOKUP(A3,Обороты!$A$4:$D$54,4,0)</f>
        <v>1</v>
      </c>
      <c r="G3" s="19">
        <f t="shared" si="0"/>
        <v>8.4745762711864412</v>
      </c>
      <c r="H3" s="19">
        <f t="shared" si="1"/>
        <v>1.5254237288135588</v>
      </c>
    </row>
    <row r="4" spans="1:8" x14ac:dyDescent="0.25">
      <c r="A4" s="13" t="s">
        <v>35</v>
      </c>
      <c r="B4" s="15" t="str">
        <f t="array" ref="B4">VLOOKUP(A4,Обороты!$A$4:$B$54,2,0)</f>
        <v>Зубная паста</v>
      </c>
      <c r="C4" s="14">
        <v>5</v>
      </c>
      <c r="D4" s="19">
        <f>VLOOKUP(A4,Обороты!$A$4:$C$54,3,0)</f>
        <v>50</v>
      </c>
      <c r="E4" s="19">
        <f t="shared" si="2"/>
        <v>250</v>
      </c>
      <c r="F4" s="2" t="b">
        <f>VLOOKUP(A4,Обороты!$A$4:$D$54,4,0)</f>
        <v>1</v>
      </c>
      <c r="G4" s="19">
        <f t="shared" si="0"/>
        <v>211.86440677966104</v>
      </c>
      <c r="H4" s="19">
        <f t="shared" si="1"/>
        <v>38.135593220338961</v>
      </c>
    </row>
    <row r="5" spans="1:8" x14ac:dyDescent="0.25">
      <c r="A5" s="13" t="s">
        <v>28</v>
      </c>
      <c r="B5" s="15" t="str">
        <f t="array" ref="B5">VLOOKUP(A5,Обороты!$A$4:$B$54,2,0)</f>
        <v>Карандаш</v>
      </c>
      <c r="C5" s="14">
        <v>3</v>
      </c>
      <c r="D5" s="19">
        <f>VLOOKUP(A5,Обороты!$A$4:$C$54,3,0)</f>
        <v>10</v>
      </c>
      <c r="E5" s="19">
        <f t="shared" si="2"/>
        <v>30</v>
      </c>
      <c r="F5" s="2" t="b">
        <f>VLOOKUP(A5,Обороты!$A$4:$D$54,4,0)</f>
        <v>0</v>
      </c>
      <c r="G5" s="19">
        <f t="shared" si="0"/>
        <v>30</v>
      </c>
      <c r="H5" s="19">
        <f t="shared" si="1"/>
        <v>5.3999999999999995</v>
      </c>
    </row>
    <row r="6" spans="1:8" x14ac:dyDescent="0.25">
      <c r="A6" s="13" t="s">
        <v>31</v>
      </c>
      <c r="B6" s="15" t="str">
        <f t="array" ref="B6">VLOOKUP(A6,Обороты!$A$4:$B$54,2,0)</f>
        <v>Циркуль</v>
      </c>
      <c r="C6" s="14">
        <v>1</v>
      </c>
      <c r="D6" s="19">
        <f>VLOOKUP(A6,Обороты!$A$4:$C$54,3,0)</f>
        <v>50</v>
      </c>
      <c r="E6" s="19">
        <f t="shared" si="2"/>
        <v>50</v>
      </c>
      <c r="F6" s="2" t="b">
        <f>VLOOKUP(A6,Обороты!$A$4:$D$54,4,0)</f>
        <v>0</v>
      </c>
      <c r="G6" s="19">
        <f t="shared" si="0"/>
        <v>50</v>
      </c>
      <c r="H6" s="19">
        <f t="shared" si="1"/>
        <v>9</v>
      </c>
    </row>
    <row r="7" spans="1:8" x14ac:dyDescent="0.25">
      <c r="A7" s="13" t="s">
        <v>33</v>
      </c>
      <c r="B7" s="15" t="str">
        <f t="array" ref="B7">VLOOKUP(A7,Обороты!$A$4:$B$54,2,0)</f>
        <v>Зубная щетка</v>
      </c>
      <c r="C7" s="14">
        <v>3</v>
      </c>
      <c r="D7" s="19">
        <f>VLOOKUP(A7,Обороты!$A$4:$C$54,3,0)</f>
        <v>80</v>
      </c>
      <c r="E7" s="19">
        <f t="shared" si="2"/>
        <v>240</v>
      </c>
      <c r="F7" s="2" t="b">
        <f>VLOOKUP(A7,Обороты!$A$4:$D$54,4,0)</f>
        <v>1</v>
      </c>
      <c r="G7" s="19">
        <f t="shared" si="0"/>
        <v>203.38983050847457</v>
      </c>
      <c r="H7" s="19">
        <f t="shared" si="1"/>
        <v>36.610169491525426</v>
      </c>
    </row>
    <row r="8" spans="1:8" x14ac:dyDescent="0.25">
      <c r="A8" s="13" t="s">
        <v>32</v>
      </c>
      <c r="B8" s="15" t="str">
        <f t="array" ref="B8">VLOOKUP(A8,Обороты!$A$4:$B$54,2,0)</f>
        <v>Мыло</v>
      </c>
      <c r="C8" s="14">
        <v>1</v>
      </c>
      <c r="D8" s="19">
        <f>VLOOKUP(A8,Обороты!$A$4:$C$54,3,0)</f>
        <v>60</v>
      </c>
      <c r="E8" s="19">
        <f t="shared" si="2"/>
        <v>60</v>
      </c>
      <c r="F8" s="2" t="b">
        <f>VLOOKUP(A8,Обороты!$A$4:$D$54,4,0)</f>
        <v>0</v>
      </c>
      <c r="G8" s="19">
        <f t="shared" si="0"/>
        <v>60</v>
      </c>
      <c r="H8" s="19">
        <f t="shared" si="1"/>
        <v>10.799999999999999</v>
      </c>
    </row>
    <row r="9" spans="1:8" x14ac:dyDescent="0.25">
      <c r="A9" s="13" t="s">
        <v>31</v>
      </c>
      <c r="B9" s="15" t="str">
        <f t="array" ref="B9">VLOOKUP(A9,Обороты!$A$4:$B$54,2,0)</f>
        <v>Циркуль</v>
      </c>
      <c r="C9" s="14">
        <v>1</v>
      </c>
      <c r="D9" s="19">
        <f>VLOOKUP(A9,Обороты!$A$4:$C$54,3,0)</f>
        <v>50</v>
      </c>
      <c r="E9" s="19">
        <f t="shared" si="2"/>
        <v>50</v>
      </c>
      <c r="F9" s="2" t="b">
        <f>VLOOKUP(A9,Обороты!$A$4:$D$54,4,0)</f>
        <v>0</v>
      </c>
      <c r="G9" s="19">
        <f t="shared" si="0"/>
        <v>50</v>
      </c>
      <c r="H9" s="19">
        <f t="shared" si="1"/>
        <v>9</v>
      </c>
    </row>
    <row r="10" spans="1:8" x14ac:dyDescent="0.25">
      <c r="A10" s="13" t="s">
        <v>41</v>
      </c>
      <c r="B10" s="15" t="str">
        <f t="array" ref="B10">VLOOKUP(A10,Обороты!$A$4:$B$54,2,0)</f>
        <v>Шампунь</v>
      </c>
      <c r="C10" s="14">
        <v>2</v>
      </c>
      <c r="D10" s="19">
        <f>VLOOKUP(A10,Обороты!$A$4:$C$54,3,0)</f>
        <v>120</v>
      </c>
      <c r="E10" s="19">
        <f t="shared" si="2"/>
        <v>240</v>
      </c>
      <c r="F10" s="2" t="b">
        <f>VLOOKUP(A10,Обороты!$A$4:$D$54,4,0)</f>
        <v>0</v>
      </c>
      <c r="G10" s="19">
        <f t="shared" si="0"/>
        <v>240</v>
      </c>
      <c r="H10" s="19">
        <f t="shared" si="1"/>
        <v>43.199999999999996</v>
      </c>
    </row>
    <row r="11" spans="1:8" x14ac:dyDescent="0.25">
      <c r="A11" s="13" t="s">
        <v>37</v>
      </c>
      <c r="B11" s="15" t="str">
        <f t="array" ref="B11">VLOOKUP(A11,Обороты!$A$4:$B$54,2,0)</f>
        <v>Кукла</v>
      </c>
      <c r="C11" s="14">
        <v>3</v>
      </c>
      <c r="D11" s="19">
        <f>VLOOKUP(A11,Обороты!$A$4:$C$54,3,0)</f>
        <v>400</v>
      </c>
      <c r="E11" s="19">
        <f t="shared" si="2"/>
        <v>1200</v>
      </c>
      <c r="F11" s="2" t="b">
        <f>VLOOKUP(A11,Обороты!$A$4:$D$54,4,0)</f>
        <v>1</v>
      </c>
      <c r="G11" s="19">
        <f t="shared" si="0"/>
        <v>1016.949152542373</v>
      </c>
      <c r="H11" s="19">
        <f t="shared" si="1"/>
        <v>183.05084745762701</v>
      </c>
    </row>
    <row r="12" spans="1:8" x14ac:dyDescent="0.25">
      <c r="A12" s="13" t="s">
        <v>28</v>
      </c>
      <c r="B12" s="15" t="str">
        <f t="array" ref="B12">VLOOKUP(A12,Обороты!$A$4:$B$54,2,0)</f>
        <v>Карандаш</v>
      </c>
      <c r="C12" s="14">
        <v>3</v>
      </c>
      <c r="D12" s="19">
        <f>VLOOKUP(A12,Обороты!$A$4:$C$54,3,0)</f>
        <v>10</v>
      </c>
      <c r="E12" s="19">
        <f t="shared" si="2"/>
        <v>30</v>
      </c>
      <c r="F12" s="2" t="b">
        <f>VLOOKUP(A12,Обороты!$A$4:$D$54,4,0)</f>
        <v>0</v>
      </c>
      <c r="G12" s="19">
        <f t="shared" si="0"/>
        <v>30</v>
      </c>
      <c r="H12" s="19">
        <f t="shared" si="1"/>
        <v>5.3999999999999995</v>
      </c>
    </row>
    <row r="13" spans="1:8" x14ac:dyDescent="0.25">
      <c r="A13" s="13" t="s">
        <v>38</v>
      </c>
      <c r="B13" s="15" t="str">
        <f t="array" ref="B13">VLOOKUP(A13,Обороты!$A$4:$B$54,2,0)</f>
        <v>Телефон</v>
      </c>
      <c r="C13" s="14">
        <v>3</v>
      </c>
      <c r="D13" s="19">
        <f>VLOOKUP(A13,Обороты!$A$4:$C$54,3,0)</f>
        <v>300</v>
      </c>
      <c r="E13" s="19">
        <f t="shared" si="2"/>
        <v>900</v>
      </c>
      <c r="F13" s="2" t="b">
        <f>VLOOKUP(A13,Обороты!$A$4:$D$54,4,0)</f>
        <v>0</v>
      </c>
      <c r="G13" s="19">
        <f t="shared" si="0"/>
        <v>900</v>
      </c>
      <c r="H13" s="19">
        <f t="shared" si="1"/>
        <v>162</v>
      </c>
    </row>
    <row r="14" spans="1:8" x14ac:dyDescent="0.25">
      <c r="A14" s="13" t="s">
        <v>39</v>
      </c>
      <c r="B14" s="15" t="str">
        <f t="array" ref="B14">VLOOKUP(A14,Обороты!$A$4:$B$54,2,0)</f>
        <v>Мебель</v>
      </c>
      <c r="C14" s="14">
        <v>1</v>
      </c>
      <c r="D14" s="19">
        <f>VLOOKUP(A14,Обороты!$A$4:$C$54,3,0)</f>
        <v>800</v>
      </c>
      <c r="E14" s="19">
        <f t="shared" si="2"/>
        <v>800</v>
      </c>
      <c r="F14" s="2" t="b">
        <f>VLOOKUP(A14,Обороты!$A$4:$D$54,4,0)</f>
        <v>0</v>
      </c>
      <c r="G14" s="19">
        <f t="shared" si="0"/>
        <v>800</v>
      </c>
      <c r="H14" s="19">
        <f t="shared" si="1"/>
        <v>144</v>
      </c>
    </row>
    <row r="15" spans="1:8" x14ac:dyDescent="0.25">
      <c r="A15" s="13" t="s">
        <v>27</v>
      </c>
      <c r="B15" s="15" t="str">
        <f t="array" ref="B15">VLOOKUP(A15,Обороты!$A$4:$B$54,2,0)</f>
        <v>Ручка</v>
      </c>
      <c r="C15" s="14">
        <v>3</v>
      </c>
      <c r="D15" s="19">
        <f>VLOOKUP(A15,Обороты!$A$4:$C$54,3,0)</f>
        <v>15</v>
      </c>
      <c r="E15" s="19">
        <f t="shared" si="2"/>
        <v>45</v>
      </c>
      <c r="F15" s="2" t="b">
        <f>VLOOKUP(A15,Обороты!$A$4:$D$54,4,0)</f>
        <v>1</v>
      </c>
      <c r="G15" s="19">
        <f t="shared" si="0"/>
        <v>38.135593220338983</v>
      </c>
      <c r="H15" s="19">
        <f t="shared" si="1"/>
        <v>6.8644067796610173</v>
      </c>
    </row>
    <row r="16" spans="1:8" x14ac:dyDescent="0.25">
      <c r="A16" s="13" t="s">
        <v>30</v>
      </c>
      <c r="B16" s="15" t="str">
        <f t="array" ref="B16">VLOOKUP(A16,Обороты!$A$4:$B$54,2,0)</f>
        <v>Линейка</v>
      </c>
      <c r="C16" s="14">
        <v>2</v>
      </c>
      <c r="D16" s="19">
        <f>VLOOKUP(A16,Обороты!$A$4:$C$54,3,0)</f>
        <v>20</v>
      </c>
      <c r="E16" s="19">
        <f t="shared" si="2"/>
        <v>40</v>
      </c>
      <c r="F16" s="2" t="b">
        <f>VLOOKUP(A16,Обороты!$A$4:$D$54,4,0)</f>
        <v>1</v>
      </c>
      <c r="G16" s="19">
        <f t="shared" si="0"/>
        <v>33.898305084745765</v>
      </c>
      <c r="H16" s="19">
        <f t="shared" si="1"/>
        <v>6.1016949152542352</v>
      </c>
    </row>
    <row r="17" spans="1:8" x14ac:dyDescent="0.25">
      <c r="A17" s="13" t="s">
        <v>40</v>
      </c>
      <c r="B17" s="15" t="str">
        <f t="array" ref="B17">VLOOKUP(A17,Обороты!$A$4:$B$54,2,0)</f>
        <v>Медведь</v>
      </c>
      <c r="C17" s="14">
        <v>2</v>
      </c>
      <c r="D17" s="19">
        <f>VLOOKUP(A17,Обороты!$A$4:$C$54,3,0)</f>
        <v>700</v>
      </c>
      <c r="E17" s="19">
        <f t="shared" si="2"/>
        <v>1400</v>
      </c>
      <c r="F17" s="2" t="b">
        <f>VLOOKUP(A17,Обороты!$A$4:$D$54,4,0)</f>
        <v>1</v>
      </c>
      <c r="G17" s="19">
        <f t="shared" si="0"/>
        <v>1186.4406779661017</v>
      </c>
      <c r="H17" s="19">
        <f t="shared" si="1"/>
        <v>213.5593220338983</v>
      </c>
    </row>
    <row r="18" spans="1:8" x14ac:dyDescent="0.25">
      <c r="A18" s="13" t="s">
        <v>28</v>
      </c>
      <c r="B18" s="15" t="str">
        <f t="array" ref="B18">VLOOKUP(A18,Обороты!$A$4:$B$54,2,0)</f>
        <v>Карандаш</v>
      </c>
      <c r="C18" s="14">
        <v>2</v>
      </c>
      <c r="D18" s="19">
        <f>VLOOKUP(A18,Обороты!$A$4:$C$54,3,0)</f>
        <v>10</v>
      </c>
      <c r="E18" s="19">
        <f t="shared" si="2"/>
        <v>20</v>
      </c>
      <c r="F18" s="2" t="b">
        <f>VLOOKUP(A18,Обороты!$A$4:$D$54,4,0)</f>
        <v>0</v>
      </c>
      <c r="G18" s="19">
        <f t="shared" si="0"/>
        <v>20</v>
      </c>
      <c r="H18" s="19">
        <f t="shared" si="1"/>
        <v>3.5999999999999996</v>
      </c>
    </row>
    <row r="19" spans="1:8" x14ac:dyDescent="0.25">
      <c r="A19" s="13" t="s">
        <v>40</v>
      </c>
      <c r="B19" s="15" t="str">
        <f t="array" ref="B19">VLOOKUP(A19,Обороты!$A$4:$B$54,2,0)</f>
        <v>Медведь</v>
      </c>
      <c r="C19" s="14">
        <v>1</v>
      </c>
      <c r="D19" s="19">
        <f>VLOOKUP(A19,Обороты!$A$4:$C$54,3,0)</f>
        <v>700</v>
      </c>
      <c r="E19" s="19">
        <f t="shared" si="2"/>
        <v>700</v>
      </c>
      <c r="F19" s="2" t="b">
        <f>VLOOKUP(A19,Обороты!$A$4:$D$54,4,0)</f>
        <v>1</v>
      </c>
      <c r="G19" s="19">
        <f t="shared" si="0"/>
        <v>593.22033898305085</v>
      </c>
      <c r="H19" s="19">
        <f t="shared" si="1"/>
        <v>106.77966101694915</v>
      </c>
    </row>
    <row r="20" spans="1:8" x14ac:dyDescent="0.25">
      <c r="A20" s="13" t="s">
        <v>33</v>
      </c>
      <c r="B20" s="15" t="str">
        <f t="array" ref="B20">VLOOKUP(A20,Обороты!$A$4:$B$54,2,0)</f>
        <v>Зубная щетка</v>
      </c>
      <c r="C20" s="14">
        <v>3</v>
      </c>
      <c r="D20" s="19">
        <f>VLOOKUP(A20,Обороты!$A$4:$C$54,3,0)</f>
        <v>80</v>
      </c>
      <c r="E20" s="19">
        <f t="shared" si="2"/>
        <v>240</v>
      </c>
      <c r="F20" s="2" t="b">
        <f>VLOOKUP(A20,Обороты!$A$4:$D$54,4,0)</f>
        <v>1</v>
      </c>
      <c r="G20" s="19">
        <f t="shared" si="0"/>
        <v>203.38983050847457</v>
      </c>
      <c r="H20" s="19">
        <f t="shared" si="1"/>
        <v>36.610169491525426</v>
      </c>
    </row>
    <row r="21" spans="1:8" x14ac:dyDescent="0.25">
      <c r="A21" s="13" t="s">
        <v>32</v>
      </c>
      <c r="B21" s="15" t="str">
        <f t="array" ref="B21">VLOOKUP(A21,Обороты!$A$4:$B$54,2,0)</f>
        <v>Мыло</v>
      </c>
      <c r="C21" s="14">
        <v>1</v>
      </c>
      <c r="D21" s="19">
        <f>VLOOKUP(A21,Обороты!$A$4:$C$54,3,0)</f>
        <v>60</v>
      </c>
      <c r="E21" s="19">
        <f t="shared" si="2"/>
        <v>60</v>
      </c>
      <c r="F21" s="2" t="b">
        <f>VLOOKUP(A21,Обороты!$A$4:$D$54,4,0)</f>
        <v>0</v>
      </c>
      <c r="G21" s="19">
        <f t="shared" si="0"/>
        <v>60</v>
      </c>
      <c r="H21" s="19">
        <f t="shared" si="1"/>
        <v>10.799999999999999</v>
      </c>
    </row>
    <row r="22" spans="1:8" x14ac:dyDescent="0.25">
      <c r="A22" s="13" t="s">
        <v>29</v>
      </c>
      <c r="B22" s="15" t="str">
        <f t="array" ref="B22">VLOOKUP(A22,Обороты!$A$4:$B$54,2,0)</f>
        <v>Стерка</v>
      </c>
      <c r="C22" s="14">
        <v>3</v>
      </c>
      <c r="D22" s="19">
        <f>VLOOKUP(A22,Обороты!$A$4:$C$54,3,0)</f>
        <v>5</v>
      </c>
      <c r="E22" s="19">
        <f t="shared" si="2"/>
        <v>15</v>
      </c>
      <c r="F22" s="2" t="b">
        <f>VLOOKUP(A22,Обороты!$A$4:$D$54,4,0)</f>
        <v>1</v>
      </c>
      <c r="G22" s="19">
        <f t="shared" si="0"/>
        <v>12.711864406779661</v>
      </c>
      <c r="H22" s="19">
        <f t="shared" si="1"/>
        <v>2.2881355932203391</v>
      </c>
    </row>
    <row r="23" spans="1:8" x14ac:dyDescent="0.25">
      <c r="A23" s="13" t="s">
        <v>28</v>
      </c>
      <c r="B23" s="15" t="str">
        <f t="array" ref="B23">VLOOKUP(A23,Обороты!$A$4:$B$54,2,0)</f>
        <v>Карандаш</v>
      </c>
      <c r="C23" s="14">
        <v>3</v>
      </c>
      <c r="D23" s="19">
        <f>VLOOKUP(A23,Обороты!$A$4:$C$54,3,0)</f>
        <v>10</v>
      </c>
      <c r="E23" s="19">
        <f t="shared" si="2"/>
        <v>30</v>
      </c>
      <c r="F23" s="2" t="b">
        <f>VLOOKUP(A23,Обороты!$A$4:$D$54,4,0)</f>
        <v>0</v>
      </c>
      <c r="G23" s="19">
        <f t="shared" si="0"/>
        <v>30</v>
      </c>
      <c r="H23" s="19">
        <f t="shared" si="1"/>
        <v>5.3999999999999995</v>
      </c>
    </row>
    <row r="24" spans="1:8" x14ac:dyDescent="0.25">
      <c r="A24" s="13" t="s">
        <v>35</v>
      </c>
      <c r="B24" s="15" t="str">
        <f t="array" ref="B24">VLOOKUP(A24,Обороты!$A$4:$B$54,2,0)</f>
        <v>Зубная паста</v>
      </c>
      <c r="C24" s="14">
        <v>2</v>
      </c>
      <c r="D24" s="19">
        <f>VLOOKUP(A24,Обороты!$A$4:$C$54,3,0)</f>
        <v>50</v>
      </c>
      <c r="E24" s="19">
        <f t="shared" si="2"/>
        <v>100</v>
      </c>
      <c r="F24" s="2" t="b">
        <f>VLOOKUP(A24,Обороты!$A$4:$D$54,4,0)</f>
        <v>1</v>
      </c>
      <c r="G24" s="19">
        <f t="shared" si="0"/>
        <v>84.745762711864415</v>
      </c>
      <c r="H24" s="19">
        <f t="shared" si="1"/>
        <v>15.254237288135585</v>
      </c>
    </row>
    <row r="25" spans="1:8" x14ac:dyDescent="0.25">
      <c r="A25" s="13" t="s">
        <v>34</v>
      </c>
      <c r="B25" s="15" t="str">
        <f t="array" ref="B25">VLOOKUP(A25,Обороты!$A$4:$B$54,2,0)</f>
        <v>Крем</v>
      </c>
      <c r="C25" s="14">
        <v>3</v>
      </c>
      <c r="D25" s="19">
        <f>VLOOKUP(A25,Обороты!$A$4:$C$54,3,0)</f>
        <v>150</v>
      </c>
      <c r="E25" s="19">
        <f t="shared" si="2"/>
        <v>450</v>
      </c>
      <c r="F25" s="2" t="b">
        <f>VLOOKUP(A25,Обороты!$A$4:$D$54,4,0)</f>
        <v>1</v>
      </c>
      <c r="G25" s="19">
        <f t="shared" si="0"/>
        <v>381.35593220338984</v>
      </c>
      <c r="H25" s="19">
        <f t="shared" si="1"/>
        <v>68.644067796610159</v>
      </c>
    </row>
    <row r="26" spans="1:8" x14ac:dyDescent="0.25">
      <c r="A26" s="13" t="s">
        <v>39</v>
      </c>
      <c r="B26" s="15" t="str">
        <f t="array" ref="B26">VLOOKUP(A26,Обороты!$A$4:$B$54,2,0)</f>
        <v>Мебель</v>
      </c>
      <c r="C26" s="14">
        <v>4</v>
      </c>
      <c r="D26" s="19">
        <f>VLOOKUP(A26,Обороты!$A$4:$C$54,3,0)</f>
        <v>800</v>
      </c>
      <c r="E26" s="19">
        <f t="shared" si="2"/>
        <v>3200</v>
      </c>
      <c r="F26" s="2" t="b">
        <f>VLOOKUP(A26,Обороты!$A$4:$D$54,4,0)</f>
        <v>0</v>
      </c>
      <c r="G26" s="19">
        <f t="shared" si="0"/>
        <v>3200</v>
      </c>
      <c r="H26" s="19">
        <f t="shared" si="1"/>
        <v>576</v>
      </c>
    </row>
    <row r="27" spans="1:8" x14ac:dyDescent="0.25">
      <c r="A27" s="13" t="s">
        <v>36</v>
      </c>
      <c r="B27" s="15" t="str">
        <f t="array" ref="B27">VLOOKUP(A27,Обороты!$A$4:$B$54,2,0)</f>
        <v>Конструктор</v>
      </c>
      <c r="C27" s="14">
        <v>5</v>
      </c>
      <c r="D27" s="19">
        <f>VLOOKUP(A27,Обороты!$A$4:$C$54,3,0)</f>
        <v>500</v>
      </c>
      <c r="E27" s="19">
        <f t="shared" si="2"/>
        <v>2500</v>
      </c>
      <c r="F27" s="2" t="b">
        <f>VLOOKUP(A27,Обороты!$A$4:$D$54,4,0)</f>
        <v>1</v>
      </c>
      <c r="G27" s="19">
        <f t="shared" si="0"/>
        <v>2118.6440677966102</v>
      </c>
      <c r="H27" s="19">
        <f t="shared" si="1"/>
        <v>381.35593220338978</v>
      </c>
    </row>
    <row r="28" spans="1:8" x14ac:dyDescent="0.25">
      <c r="A28" s="13" t="s">
        <v>30</v>
      </c>
      <c r="B28" s="15" t="str">
        <f t="array" ref="B28">VLOOKUP(A28,Обороты!$A$4:$B$54,2,0)</f>
        <v>Линейка</v>
      </c>
      <c r="C28" s="14">
        <v>1</v>
      </c>
      <c r="D28" s="19">
        <f>VLOOKUP(A28,Обороты!$A$4:$C$54,3,0)</f>
        <v>20</v>
      </c>
      <c r="E28" s="19">
        <f t="shared" si="2"/>
        <v>20</v>
      </c>
      <c r="F28" s="2" t="b">
        <f>VLOOKUP(A28,Обороты!$A$4:$D$54,4,0)</f>
        <v>1</v>
      </c>
      <c r="G28" s="19">
        <f t="shared" si="0"/>
        <v>16.949152542372882</v>
      </c>
      <c r="H28" s="19">
        <f t="shared" si="1"/>
        <v>3.0508474576271176</v>
      </c>
    </row>
    <row r="29" spans="1:8" x14ac:dyDescent="0.25">
      <c r="A29" s="13" t="s">
        <v>34</v>
      </c>
      <c r="B29" s="15" t="str">
        <f t="array" ref="B29">VLOOKUP(A29,Обороты!$A$4:$B$54,2,0)</f>
        <v>Крем</v>
      </c>
      <c r="C29" s="14">
        <v>3</v>
      </c>
      <c r="D29" s="19">
        <f>VLOOKUP(A29,Обороты!$A$4:$C$54,3,0)</f>
        <v>150</v>
      </c>
      <c r="E29" s="19">
        <f t="shared" si="2"/>
        <v>450</v>
      </c>
      <c r="F29" s="2" t="b">
        <f>VLOOKUP(A29,Обороты!$A$4:$D$54,4,0)</f>
        <v>1</v>
      </c>
      <c r="G29" s="19">
        <f t="shared" si="0"/>
        <v>381.35593220338984</v>
      </c>
      <c r="H29" s="19">
        <f t="shared" si="1"/>
        <v>68.644067796610159</v>
      </c>
    </row>
    <row r="30" spans="1:8" x14ac:dyDescent="0.25">
      <c r="A30" s="13" t="s">
        <v>40</v>
      </c>
      <c r="B30" s="15" t="str">
        <f t="array" ref="B30">VLOOKUP(A30,Обороты!$A$4:$B$54,2,0)</f>
        <v>Медведь</v>
      </c>
      <c r="C30" s="14">
        <v>1</v>
      </c>
      <c r="D30" s="19">
        <f>VLOOKUP(A30,Обороты!$A$4:$C$54,3,0)</f>
        <v>700</v>
      </c>
      <c r="E30" s="19">
        <f t="shared" si="2"/>
        <v>700</v>
      </c>
      <c r="F30" s="2" t="b">
        <f>VLOOKUP(A30,Обороты!$A$4:$D$54,4,0)</f>
        <v>1</v>
      </c>
      <c r="G30" s="19">
        <f t="shared" si="0"/>
        <v>593.22033898305085</v>
      </c>
      <c r="H30" s="19">
        <f t="shared" si="1"/>
        <v>106.77966101694915</v>
      </c>
    </row>
    <row r="31" spans="1:8" x14ac:dyDescent="0.25">
      <c r="B31" s="14"/>
    </row>
    <row r="32" spans="1:8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  <row r="36" spans="2:2" x14ac:dyDescent="0.25">
      <c r="B36" s="14"/>
    </row>
    <row r="37" spans="2:2" x14ac:dyDescent="0.25">
      <c r="B37" s="14"/>
    </row>
    <row r="38" spans="2:2" x14ac:dyDescent="0.25">
      <c r="B38" s="14"/>
    </row>
    <row r="39" spans="2:2" x14ac:dyDescent="0.25">
      <c r="B39" s="14"/>
    </row>
    <row r="40" spans="2:2" x14ac:dyDescent="0.25">
      <c r="B40" s="14"/>
    </row>
    <row r="41" spans="2:2" x14ac:dyDescent="0.25">
      <c r="B41" s="14"/>
    </row>
    <row r="42" spans="2:2" x14ac:dyDescent="0.25">
      <c r="B42" s="14"/>
    </row>
    <row r="43" spans="2:2" x14ac:dyDescent="0.25">
      <c r="B43" s="14"/>
    </row>
    <row r="44" spans="2:2" x14ac:dyDescent="0.25">
      <c r="B44" s="14"/>
    </row>
    <row r="45" spans="2:2" x14ac:dyDescent="0.25">
      <c r="B45" s="14"/>
    </row>
    <row r="46" spans="2:2" x14ac:dyDescent="0.25">
      <c r="B46" s="14"/>
    </row>
    <row r="47" spans="2:2" x14ac:dyDescent="0.25">
      <c r="B47" s="14"/>
    </row>
    <row r="48" spans="2:2" x14ac:dyDescent="0.25">
      <c r="B48" s="14"/>
    </row>
    <row r="49" spans="2:2" x14ac:dyDescent="0.25">
      <c r="B49" s="14"/>
    </row>
    <row r="50" spans="2:2" x14ac:dyDescent="0.25">
      <c r="B50" s="14"/>
    </row>
  </sheetData>
  <phoneticPr fontId="0" type="noConversion"/>
  <pageMargins left="0.7" right="0.7" top="0.75" bottom="0.75" header="0.3" footer="0.3"/>
  <pageSetup paperSize="9" orientation="portrait" r:id="rId1"/>
  <ignoredErrors>
    <ignoredError sqref="A2 A3:A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2" sqref="B2"/>
    </sheetView>
  </sheetViews>
  <sheetFormatPr defaultRowHeight="15" x14ac:dyDescent="0.25"/>
  <cols>
    <col min="1" max="1" width="9.28515625" style="7" customWidth="1"/>
    <col min="2" max="2" width="17.140625" style="7" customWidth="1"/>
    <col min="3" max="3" width="13.42578125" style="8" customWidth="1"/>
  </cols>
  <sheetData>
    <row r="1" spans="1:3" x14ac:dyDescent="0.25">
      <c r="A1" s="6" t="s">
        <v>0</v>
      </c>
      <c r="B1" s="6" t="s">
        <v>1</v>
      </c>
      <c r="C1" s="6" t="s">
        <v>2</v>
      </c>
    </row>
    <row r="2" spans="1:3" x14ac:dyDescent="0.25">
      <c r="A2" s="13" t="s">
        <v>31</v>
      </c>
      <c r="B2" s="15" t="str">
        <f t="array" ref="B2">VLOOKUP(A2,Обороты!$A$4:$B$54,2,0)</f>
        <v>Циркуль</v>
      </c>
      <c r="C2" s="14">
        <v>1</v>
      </c>
    </row>
    <row r="3" spans="1:3" x14ac:dyDescent="0.25">
      <c r="A3" s="13" t="s">
        <v>41</v>
      </c>
      <c r="B3" s="15" t="str">
        <f t="array" ref="B3">VLOOKUP(A3,Обороты!$A$4:$B$54,2,0)</f>
        <v>Шампунь</v>
      </c>
      <c r="C3" s="14">
        <v>2</v>
      </c>
    </row>
    <row r="4" spans="1:3" x14ac:dyDescent="0.25">
      <c r="A4" s="13" t="s">
        <v>37</v>
      </c>
      <c r="B4" s="15" t="str">
        <f t="array" ref="B4">VLOOKUP(A4,Обороты!$A$4:$B$54,2,0)</f>
        <v>Кукла</v>
      </c>
      <c r="C4" s="14">
        <v>3</v>
      </c>
    </row>
    <row r="5" spans="1:3" x14ac:dyDescent="0.25">
      <c r="A5" s="13" t="s">
        <v>28</v>
      </c>
      <c r="B5" s="15" t="str">
        <f t="array" ref="B5">VLOOKUP(A5,Обороты!$A$4:$B$54,2,0)</f>
        <v>Карандаш</v>
      </c>
      <c r="C5" s="14">
        <v>3</v>
      </c>
    </row>
    <row r="6" spans="1:3" x14ac:dyDescent="0.25">
      <c r="A6" s="13" t="s">
        <v>38</v>
      </c>
      <c r="B6" s="15" t="str">
        <f t="array" ref="B6">VLOOKUP(A6,Обороты!$A$4:$B$54,2,0)</f>
        <v>Телефон</v>
      </c>
      <c r="C6" s="14">
        <v>3</v>
      </c>
    </row>
    <row r="7" spans="1:3" x14ac:dyDescent="0.25">
      <c r="A7" s="13" t="s">
        <v>39</v>
      </c>
      <c r="B7" s="15" t="str">
        <f t="array" ref="B7">VLOOKUP(A7,Обороты!$A$4:$B$54,2,0)</f>
        <v>Мебель</v>
      </c>
      <c r="C7" s="14">
        <v>1</v>
      </c>
    </row>
    <row r="8" spans="1:3" x14ac:dyDescent="0.25">
      <c r="A8" s="13" t="s">
        <v>27</v>
      </c>
      <c r="B8" s="15" t="str">
        <f t="array" ref="B8">VLOOKUP(A8,Обороты!$A$4:$B$54,2,0)</f>
        <v>Ручка</v>
      </c>
      <c r="C8" s="14">
        <v>3</v>
      </c>
    </row>
    <row r="9" spans="1:3" x14ac:dyDescent="0.25">
      <c r="A9" s="13" t="s">
        <v>30</v>
      </c>
      <c r="B9" s="15" t="str">
        <f t="array" ref="B9">VLOOKUP(A9,Обороты!$A$4:$B$54,2,0)</f>
        <v>Линейка</v>
      </c>
      <c r="C9" s="14">
        <v>2</v>
      </c>
    </row>
    <row r="10" spans="1:3" x14ac:dyDescent="0.25">
      <c r="A10" s="13" t="s">
        <v>40</v>
      </c>
      <c r="B10" s="15" t="str">
        <f t="array" ref="B10">VLOOKUP(A10,Обороты!$A$4:$B$54,2,0)</f>
        <v>Медведь</v>
      </c>
      <c r="C10" s="14">
        <v>2</v>
      </c>
    </row>
    <row r="11" spans="1:3" x14ac:dyDescent="0.25">
      <c r="A11" s="13" t="s">
        <v>28</v>
      </c>
      <c r="B11" s="15" t="str">
        <f t="array" ref="B11">VLOOKUP(A11,Обороты!$A$4:$B$54,2,0)</f>
        <v>Карандаш</v>
      </c>
      <c r="C11" s="14">
        <v>2</v>
      </c>
    </row>
    <row r="12" spans="1:3" x14ac:dyDescent="0.25">
      <c r="A12" s="13" t="s">
        <v>40</v>
      </c>
      <c r="B12" s="15" t="str">
        <f t="array" ref="B12">VLOOKUP(A12,Обороты!$A$4:$B$54,2,0)</f>
        <v>Медведь</v>
      </c>
      <c r="C12" s="14">
        <v>1</v>
      </c>
    </row>
    <row r="13" spans="1:3" x14ac:dyDescent="0.25">
      <c r="A13" s="13" t="s">
        <v>33</v>
      </c>
      <c r="B13" s="15" t="str">
        <f t="array" ref="B13">VLOOKUP(A13,Обороты!$A$4:$B$54,2,0)</f>
        <v>Зубная щетка</v>
      </c>
      <c r="C13" s="14">
        <v>3</v>
      </c>
    </row>
    <row r="14" spans="1:3" x14ac:dyDescent="0.25">
      <c r="A14" s="13" t="s">
        <v>32</v>
      </c>
      <c r="B14" s="15" t="str">
        <f t="array" ref="B14">VLOOKUP(A14,Обороты!$A$4:$B$54,2,0)</f>
        <v>Мыло</v>
      </c>
      <c r="C14" s="14">
        <v>1</v>
      </c>
    </row>
    <row r="15" spans="1:3" x14ac:dyDescent="0.25">
      <c r="A15" s="13" t="s">
        <v>29</v>
      </c>
      <c r="B15" s="15" t="str">
        <f t="array" ref="B15">VLOOKUP(A15,Обороты!$A$4:$B$54,2,0)</f>
        <v>Стерка</v>
      </c>
      <c r="C15" s="14">
        <v>3</v>
      </c>
    </row>
    <row r="16" spans="1:3" x14ac:dyDescent="0.25">
      <c r="A16" s="13" t="s">
        <v>28</v>
      </c>
      <c r="B16" s="15" t="str">
        <f t="array" ref="B16">VLOOKUP(A16,Обороты!$A$4:$B$54,2,0)</f>
        <v>Карандаш</v>
      </c>
      <c r="C16" s="14">
        <v>3</v>
      </c>
    </row>
    <row r="17" spans="1:3" x14ac:dyDescent="0.25">
      <c r="A17" s="13" t="s">
        <v>35</v>
      </c>
      <c r="B17" s="15" t="str">
        <f t="array" ref="B17">VLOOKUP(A17,Обороты!$A$4:$B$54,2,0)</f>
        <v>Зубная паста</v>
      </c>
      <c r="C17" s="14">
        <v>2</v>
      </c>
    </row>
    <row r="18" spans="1:3" x14ac:dyDescent="0.25">
      <c r="A18" s="13" t="s">
        <v>34</v>
      </c>
      <c r="B18" s="15" t="str">
        <f t="array" ref="B18">VLOOKUP(A18,Обороты!$A$4:$B$54,2,0)</f>
        <v>Крем</v>
      </c>
      <c r="C18" s="14">
        <v>3</v>
      </c>
    </row>
  </sheetData>
  <phoneticPr fontId="0" type="noConversion"/>
  <pageMargins left="0.7" right="0.7" top="0.75" bottom="0.75" header="0.3" footer="0.3"/>
  <ignoredErrors>
    <ignoredError sqref="A2: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O6" sqref="O6"/>
    </sheetView>
  </sheetViews>
  <sheetFormatPr defaultRowHeight="15" x14ac:dyDescent="0.25"/>
  <cols>
    <col min="1" max="1" width="8" style="13" customWidth="1"/>
    <col min="2" max="2" width="22" style="7" customWidth="1"/>
    <col min="3" max="3" width="11.7109375" customWidth="1"/>
    <col min="4" max="4" width="12.7109375" customWidth="1"/>
    <col min="5" max="5" width="12" style="2" hidden="1" customWidth="1"/>
    <col min="6" max="6" width="10.85546875" style="2" hidden="1" customWidth="1"/>
    <col min="7" max="7" width="12.140625" style="2" hidden="1" customWidth="1"/>
    <col min="8" max="8" width="10.7109375" style="2" hidden="1" customWidth="1"/>
    <col min="9" max="9" width="11.42578125" style="2" hidden="1" customWidth="1"/>
    <col min="10" max="10" width="10.42578125" style="2" hidden="1" customWidth="1"/>
    <col min="11" max="11" width="11.28515625" style="2" hidden="1" customWidth="1"/>
    <col min="12" max="12" width="10.28515625" style="2" hidden="1" customWidth="1"/>
    <col min="13" max="13" width="9.140625" style="2" hidden="1" customWidth="1"/>
    <col min="14" max="14" width="13.42578125" customWidth="1"/>
    <col min="15" max="15" width="13" customWidth="1"/>
  </cols>
  <sheetData>
    <row r="1" spans="1:15" ht="29.25" customHeight="1" x14ac:dyDescent="0.25">
      <c r="A1" s="6" t="s">
        <v>0</v>
      </c>
      <c r="B1" s="6" t="s">
        <v>1</v>
      </c>
      <c r="C1" s="5" t="s">
        <v>3</v>
      </c>
      <c r="D1" s="20" t="s">
        <v>5</v>
      </c>
      <c r="E1" s="41" t="s">
        <v>46</v>
      </c>
      <c r="F1" s="41"/>
      <c r="G1" s="41" t="s">
        <v>47</v>
      </c>
      <c r="H1" s="41"/>
      <c r="I1" s="41" t="s">
        <v>45</v>
      </c>
      <c r="J1" s="41"/>
      <c r="K1" s="41" t="s">
        <v>50</v>
      </c>
      <c r="L1" s="41"/>
      <c r="M1" s="40" t="s">
        <v>48</v>
      </c>
      <c r="N1" s="5" t="s">
        <v>51</v>
      </c>
      <c r="O1" s="5" t="s">
        <v>52</v>
      </c>
    </row>
    <row r="2" spans="1:15" x14ac:dyDescent="0.25">
      <c r="E2" s="6" t="s">
        <v>2</v>
      </c>
      <c r="F2" s="6" t="s">
        <v>10</v>
      </c>
      <c r="G2" s="6" t="s">
        <v>2</v>
      </c>
      <c r="H2" s="6" t="s">
        <v>10</v>
      </c>
      <c r="I2" s="6" t="s">
        <v>2</v>
      </c>
      <c r="J2" s="6" t="s">
        <v>10</v>
      </c>
      <c r="K2" s="6" t="s">
        <v>2</v>
      </c>
      <c r="L2" s="6" t="s">
        <v>10</v>
      </c>
      <c r="M2" s="40"/>
    </row>
    <row r="3" spans="1:15" x14ac:dyDescent="0.25">
      <c r="B3" s="11" t="s">
        <v>49</v>
      </c>
      <c r="F3" s="19">
        <f>SUM(F5:F21)</f>
        <v>18050</v>
      </c>
      <c r="H3" s="19">
        <f>SUM(H5:H21)</f>
        <v>13905</v>
      </c>
      <c r="J3" s="19">
        <f>SUM(J5:J21)</f>
        <v>6320</v>
      </c>
      <c r="L3" s="19">
        <f>SUM(L5:L21)</f>
        <v>25635</v>
      </c>
    </row>
    <row r="4" spans="1:15" x14ac:dyDescent="0.25">
      <c r="B4" s="12" t="s">
        <v>12</v>
      </c>
    </row>
    <row r="5" spans="1:15" x14ac:dyDescent="0.25">
      <c r="A5" s="13" t="s">
        <v>27</v>
      </c>
      <c r="B5" s="7" t="s">
        <v>13</v>
      </c>
      <c r="C5" s="18">
        <v>15</v>
      </c>
      <c r="D5" t="b">
        <f>TRUE()</f>
        <v>1</v>
      </c>
      <c r="E5" s="2">
        <v>2</v>
      </c>
      <c r="F5" s="19">
        <f>$C5*E5</f>
        <v>30</v>
      </c>
      <c r="G5" s="2">
        <f>SUMIF(Приход!$A$2:$A$30,A5,Приход!$C$2:$C$30)</f>
        <v>8</v>
      </c>
      <c r="H5" s="19">
        <f>$C5*G5</f>
        <v>120</v>
      </c>
      <c r="I5" s="2">
        <f>SUMIF(Расход!$A$2:$A$20,A5,Расход!$C$2:$C$20)</f>
        <v>3</v>
      </c>
      <c r="J5" s="19">
        <f>$C5*I5</f>
        <v>45</v>
      </c>
      <c r="K5" s="2">
        <f>E5+G5-I5</f>
        <v>7</v>
      </c>
      <c r="L5" s="19">
        <f>$C5*K5</f>
        <v>105</v>
      </c>
      <c r="M5" s="19">
        <f>IF(E5+G5&gt;0,(F5+H5)/(E5+G5),0)</f>
        <v>15</v>
      </c>
      <c r="N5" s="21">
        <f>SUMIF(Приход!$A$2:$A$30,A5,Приход!$H$2:$H$30)</f>
        <v>18.305084745762706</v>
      </c>
      <c r="O5" s="21">
        <f>SUMIF(Приход!$A$2:$A$30,A5,Приход!$G$2:$G$30)</f>
        <v>101.69491525423729</v>
      </c>
    </row>
    <row r="6" spans="1:15" x14ac:dyDescent="0.25">
      <c r="A6" s="13" t="s">
        <v>28</v>
      </c>
      <c r="B6" s="7" t="s">
        <v>14</v>
      </c>
      <c r="C6" s="18">
        <v>10</v>
      </c>
      <c r="D6" t="b">
        <f>FALSE()</f>
        <v>0</v>
      </c>
      <c r="E6" s="2">
        <v>3</v>
      </c>
      <c r="F6" s="19">
        <f t="shared" ref="F6:H9" si="0">$C6*E6</f>
        <v>30</v>
      </c>
      <c r="G6" s="2">
        <f>SUMIF(Приход!$A$2:$A$30,A6,Приход!$C$2:$C$30)</f>
        <v>11</v>
      </c>
      <c r="H6" s="19">
        <f t="shared" si="0"/>
        <v>110</v>
      </c>
      <c r="I6" s="2">
        <f>SUMIF(Расход!$A$2:$A$20,A6,Расход!$C$2:$C$20)</f>
        <v>8</v>
      </c>
      <c r="J6" s="19">
        <f>$C6*I6</f>
        <v>80</v>
      </c>
      <c r="K6" s="2">
        <f>E6+G6-I6</f>
        <v>6</v>
      </c>
      <c r="L6" s="19">
        <f>$C6*K6</f>
        <v>60</v>
      </c>
      <c r="M6" s="19">
        <f>IF(E6+G6&gt;0,(F6+H6)/(E6+G6),0)</f>
        <v>10</v>
      </c>
      <c r="N6" s="21">
        <f>SUMIF(Приход!$A$2:$A$30,A6,Приход!$H$2:$H$30)</f>
        <v>19.799999999999997</v>
      </c>
      <c r="O6" s="21">
        <f>SUMIF(Приход!$A$2:$A$30,A6,Приход!$G$2:$G$30)</f>
        <v>110</v>
      </c>
    </row>
    <row r="7" spans="1:15" x14ac:dyDescent="0.25">
      <c r="A7" s="13" t="s">
        <v>29</v>
      </c>
      <c r="B7" s="7" t="s">
        <v>15</v>
      </c>
      <c r="C7" s="18">
        <v>5</v>
      </c>
      <c r="D7" t="b">
        <f>TRUE()</f>
        <v>1</v>
      </c>
      <c r="E7" s="2">
        <v>4</v>
      </c>
      <c r="F7" s="19">
        <f t="shared" si="0"/>
        <v>20</v>
      </c>
      <c r="G7" s="2">
        <f>SUMIF(Приход!$A$2:$A$30,A7,Приход!$C$2:$C$30)</f>
        <v>5</v>
      </c>
      <c r="H7" s="19">
        <f t="shared" si="0"/>
        <v>25</v>
      </c>
      <c r="I7" s="2">
        <f>SUMIF(Расход!$A$2:$A$20,A7,Расход!$C$2:$C$20)</f>
        <v>3</v>
      </c>
      <c r="J7" s="19">
        <f>$C7*I7</f>
        <v>15</v>
      </c>
      <c r="K7" s="2">
        <f>E7+G7-I7</f>
        <v>6</v>
      </c>
      <c r="L7" s="19">
        <f>$C7*K7</f>
        <v>30</v>
      </c>
      <c r="M7" s="19">
        <f>IF(E7+G7&gt;0,(F7+H7)/(E7+G7),0)</f>
        <v>5</v>
      </c>
      <c r="N7" s="21">
        <f>SUMIF(Приход!$A$2:$A$30,A7,Приход!$H$2:$H$30)</f>
        <v>3.8135593220338979</v>
      </c>
      <c r="O7" s="21">
        <f>SUMIF(Приход!$A$2:$A$30,A7,Приход!$G$2:$G$30)</f>
        <v>21.186440677966104</v>
      </c>
    </row>
    <row r="8" spans="1:15" x14ac:dyDescent="0.25">
      <c r="A8" s="13" t="s">
        <v>30</v>
      </c>
      <c r="B8" s="7" t="s">
        <v>16</v>
      </c>
      <c r="C8" s="18">
        <v>20</v>
      </c>
      <c r="D8" t="b">
        <f>TRUE()</f>
        <v>1</v>
      </c>
      <c r="E8" s="2">
        <v>2</v>
      </c>
      <c r="F8" s="19">
        <f t="shared" si="0"/>
        <v>40</v>
      </c>
      <c r="G8" s="2">
        <f>SUMIF(Приход!$A$2:$A$30,A8,Приход!$C$2:$C$30)</f>
        <v>3</v>
      </c>
      <c r="H8" s="19">
        <f t="shared" si="0"/>
        <v>60</v>
      </c>
      <c r="I8" s="2">
        <f>SUMIF(Расход!$A$2:$A$20,A8,Расход!$C$2:$C$20)</f>
        <v>2</v>
      </c>
      <c r="J8" s="19">
        <f>$C8*I8</f>
        <v>40</v>
      </c>
      <c r="K8" s="2">
        <f>E8+G8-I8</f>
        <v>3</v>
      </c>
      <c r="L8" s="19">
        <f>$C8*K8</f>
        <v>60</v>
      </c>
      <c r="M8" s="19">
        <f>IF(E8+G8&gt;0,(F8+H8)/(E8+G8),0)</f>
        <v>20</v>
      </c>
      <c r="N8" s="21">
        <f>SUMIF(Приход!$A$2:$A$30,A8,Приход!$H$2:$H$30)</f>
        <v>9.1525423728813529</v>
      </c>
      <c r="O8" s="21">
        <f>SUMIF(Приход!$A$2:$A$30,A8,Приход!$G$2:$G$30)</f>
        <v>50.847457627118644</v>
      </c>
    </row>
    <row r="9" spans="1:15" x14ac:dyDescent="0.25">
      <c r="A9" s="13" t="s">
        <v>31</v>
      </c>
      <c r="B9" s="7" t="s">
        <v>17</v>
      </c>
      <c r="C9" s="18">
        <v>50</v>
      </c>
      <c r="D9" t="b">
        <f>FALSE()</f>
        <v>0</v>
      </c>
      <c r="E9" s="2">
        <v>1</v>
      </c>
      <c r="F9" s="19">
        <f t="shared" si="0"/>
        <v>50</v>
      </c>
      <c r="G9" s="2">
        <f>SUMIF(Приход!$A$2:$A$30,A9,Приход!$C$2:$C$30)</f>
        <v>2</v>
      </c>
      <c r="H9" s="19">
        <f t="shared" si="0"/>
        <v>100</v>
      </c>
      <c r="I9" s="2">
        <f>SUMIF(Расход!$A$2:$A$20,A9,Расход!$C$2:$C$20)</f>
        <v>1</v>
      </c>
      <c r="J9" s="19">
        <f>$C9*I9</f>
        <v>50</v>
      </c>
      <c r="K9" s="2">
        <f>E9+G9-I9</f>
        <v>2</v>
      </c>
      <c r="L9" s="19">
        <f>$C9*K9</f>
        <v>100</v>
      </c>
      <c r="M9" s="19">
        <f>IF(E9+G9&gt;0,(F9+H9)/(E9+G9),0)</f>
        <v>50</v>
      </c>
      <c r="N9" s="21">
        <f>SUMIF(Приход!$A$2:$A$30,A9,Приход!$H$2:$H$30)</f>
        <v>18</v>
      </c>
      <c r="O9" s="21">
        <f>SUMIF(Приход!$A$2:$A$30,A9,Приход!$G$2:$G$30)</f>
        <v>100</v>
      </c>
    </row>
    <row r="10" spans="1:15" x14ac:dyDescent="0.25">
      <c r="B10" s="12" t="s">
        <v>42</v>
      </c>
    </row>
    <row r="11" spans="1:15" x14ac:dyDescent="0.25">
      <c r="A11" s="13" t="s">
        <v>32</v>
      </c>
      <c r="B11" s="7" t="s">
        <v>18</v>
      </c>
      <c r="C11" s="18">
        <v>60</v>
      </c>
      <c r="D11" t="b">
        <f>FALSE()</f>
        <v>0</v>
      </c>
      <c r="E11" s="2">
        <v>5</v>
      </c>
      <c r="F11" s="19">
        <f>$C11*E11</f>
        <v>300</v>
      </c>
      <c r="G11" s="2">
        <f>SUMIF(Приход!$A$2:$A$30,A11,Приход!$C$2:$C$30)</f>
        <v>2</v>
      </c>
      <c r="H11" s="19">
        <f>$C11*G11</f>
        <v>120</v>
      </c>
      <c r="I11" s="2">
        <f>SUMIF(Расход!$A$2:$A$20,A11,Расход!$C$2:$C$20)</f>
        <v>1</v>
      </c>
      <c r="J11" s="19">
        <f>$C11*I11</f>
        <v>60</v>
      </c>
      <c r="K11" s="2">
        <f>E11+G11-I11</f>
        <v>6</v>
      </c>
      <c r="L11" s="19">
        <f>$C11*K11</f>
        <v>360</v>
      </c>
      <c r="M11" s="19">
        <f>IF(E11+G11&gt;0,(F11+H11)/(E11+G11),0)</f>
        <v>60</v>
      </c>
      <c r="N11" s="21">
        <f>SUMIF(Приход!$A$2:$A$30,A11,Приход!$H$2:$H$30)</f>
        <v>21.599999999999998</v>
      </c>
      <c r="O11" s="21">
        <f>SUMIF(Приход!$A$2:$A$30,A11,Приход!$G$2:$G$30)</f>
        <v>120</v>
      </c>
    </row>
    <row r="12" spans="1:15" x14ac:dyDescent="0.25">
      <c r="A12" s="13" t="s">
        <v>33</v>
      </c>
      <c r="B12" s="7" t="s">
        <v>43</v>
      </c>
      <c r="C12" s="18">
        <v>80</v>
      </c>
      <c r="D12" t="b">
        <f>TRUE()</f>
        <v>1</v>
      </c>
      <c r="E12" s="2">
        <v>6</v>
      </c>
      <c r="F12" s="19">
        <f>$C12*E12</f>
        <v>480</v>
      </c>
      <c r="G12" s="2">
        <f>SUMIF(Приход!$A$2:$A$30,A12,Приход!$C$2:$C$30)</f>
        <v>6</v>
      </c>
      <c r="H12" s="19">
        <f>$C12*G12</f>
        <v>480</v>
      </c>
      <c r="I12" s="2">
        <f>SUMIF(Расход!$A$2:$A$20,A12,Расход!$C$2:$C$20)</f>
        <v>3</v>
      </c>
      <c r="J12" s="19">
        <f>$C12*I12</f>
        <v>240</v>
      </c>
      <c r="K12" s="2">
        <f>E12+G12-I12</f>
        <v>9</v>
      </c>
      <c r="L12" s="19">
        <f>$C12*K12</f>
        <v>720</v>
      </c>
      <c r="M12" s="19">
        <f>IF(E12+G12&gt;0,(F12+H12)/(E12+G12),0)</f>
        <v>80</v>
      </c>
      <c r="N12" s="21">
        <f>SUMIF(Приход!$A$2:$A$30,A12,Приход!$H$2:$H$30)</f>
        <v>73.220338983050851</v>
      </c>
      <c r="O12" s="21">
        <f>SUMIF(Приход!$A$2:$A$30,A12,Приход!$G$2:$G$30)</f>
        <v>406.77966101694915</v>
      </c>
    </row>
    <row r="13" spans="1:15" x14ac:dyDescent="0.25">
      <c r="A13" s="13" t="s">
        <v>34</v>
      </c>
      <c r="B13" s="7" t="s">
        <v>19</v>
      </c>
      <c r="C13" s="18">
        <v>150</v>
      </c>
      <c r="D13" t="b">
        <f>TRUE()</f>
        <v>1</v>
      </c>
      <c r="E13" s="2">
        <v>4</v>
      </c>
      <c r="F13" s="19">
        <f>$C13*E13</f>
        <v>600</v>
      </c>
      <c r="G13" s="2">
        <f>SUMIF(Приход!$A$2:$A$30,A13,Приход!$C$2:$C$30)</f>
        <v>6</v>
      </c>
      <c r="H13" s="19">
        <f>$C13*G13</f>
        <v>900</v>
      </c>
      <c r="I13" s="2">
        <f>SUMIF(Расход!$A$2:$A$20,A13,Расход!$C$2:$C$20)</f>
        <v>3</v>
      </c>
      <c r="J13" s="19">
        <f>$C13*I13</f>
        <v>450</v>
      </c>
      <c r="K13" s="2">
        <f>E13+G13-I13</f>
        <v>7</v>
      </c>
      <c r="L13" s="19">
        <f>$C13*K13</f>
        <v>1050</v>
      </c>
      <c r="M13" s="19">
        <f>IF(E13+G13&gt;0,(F13+H13)/(E13+G13),0)</f>
        <v>150</v>
      </c>
      <c r="N13" s="21">
        <f>SUMIF(Приход!$A$2:$A$30,A13,Приход!$H$2:$H$30)</f>
        <v>137.28813559322032</v>
      </c>
      <c r="O13" s="21">
        <f>SUMIF(Приход!$A$2:$A$30,A13,Приход!$G$2:$G$30)</f>
        <v>762.71186440677968</v>
      </c>
    </row>
    <row r="14" spans="1:15" x14ac:dyDescent="0.25">
      <c r="A14" s="13" t="s">
        <v>35</v>
      </c>
      <c r="B14" s="7" t="s">
        <v>20</v>
      </c>
      <c r="C14" s="18">
        <v>50</v>
      </c>
      <c r="D14" t="b">
        <f>TRUE()</f>
        <v>1</v>
      </c>
      <c r="E14" s="2">
        <v>2</v>
      </c>
      <c r="F14" s="19">
        <f>$C14*E14</f>
        <v>100</v>
      </c>
      <c r="G14" s="2">
        <f>SUMIF(Приход!$A$2:$A$30,A14,Приход!$C$2:$C$30)</f>
        <v>7</v>
      </c>
      <c r="H14" s="19">
        <f>$C14*G14</f>
        <v>350</v>
      </c>
      <c r="I14" s="2">
        <f>SUMIF(Расход!$A$2:$A$20,A14,Расход!$C$2:$C$20)</f>
        <v>2</v>
      </c>
      <c r="J14" s="19">
        <f>$C14*I14</f>
        <v>100</v>
      </c>
      <c r="K14" s="2">
        <f>E14+G14-I14</f>
        <v>7</v>
      </c>
      <c r="L14" s="19">
        <f>$C14*K14</f>
        <v>350</v>
      </c>
      <c r="M14" s="19">
        <f>IF(E14+G14&gt;0,(F14+H14)/(E14+G14),0)</f>
        <v>50</v>
      </c>
      <c r="N14" s="21">
        <f>SUMIF(Приход!$A$2:$A$30,A14,Приход!$H$2:$H$30)</f>
        <v>53.389830508474546</v>
      </c>
      <c r="O14" s="21">
        <f>SUMIF(Приход!$A$2:$A$30,A14,Приход!$G$2:$G$30)</f>
        <v>296.61016949152543</v>
      </c>
    </row>
    <row r="15" spans="1:15" x14ac:dyDescent="0.25">
      <c r="A15" s="13" t="s">
        <v>41</v>
      </c>
      <c r="B15" s="7" t="s">
        <v>44</v>
      </c>
      <c r="C15" s="18">
        <v>120</v>
      </c>
      <c r="D15" t="b">
        <f>FALSE()</f>
        <v>0</v>
      </c>
      <c r="E15" s="2">
        <v>5</v>
      </c>
      <c r="F15" s="19">
        <f>$C15*E15</f>
        <v>600</v>
      </c>
      <c r="G15" s="2">
        <f>SUMIF(Приход!$A$2:$A$30,A15,Приход!$C$2:$C$30)</f>
        <v>2</v>
      </c>
      <c r="H15" s="19">
        <f>$C15*G15</f>
        <v>240</v>
      </c>
      <c r="I15" s="2">
        <f>SUMIF(Расход!$A$2:$A$20,A15,Расход!$C$2:$C$20)</f>
        <v>2</v>
      </c>
      <c r="J15" s="19">
        <f>$C15*I15</f>
        <v>240</v>
      </c>
      <c r="K15" s="2">
        <f>E15+G15-I15</f>
        <v>5</v>
      </c>
      <c r="L15" s="19">
        <f>$C15*K15</f>
        <v>600</v>
      </c>
      <c r="M15" s="19">
        <f>IF(E15+G15&gt;0,(F15+H15)/(E15+G15),0)</f>
        <v>120</v>
      </c>
      <c r="N15" s="21">
        <f>SUMIF(Приход!$A$2:$A$30,A15,Приход!$H$2:$H$30)</f>
        <v>43.199999999999996</v>
      </c>
      <c r="O15" s="21">
        <f>SUMIF(Приход!$A$2:$A$30,A15,Приход!$G$2:$G$30)</f>
        <v>240</v>
      </c>
    </row>
    <row r="16" spans="1:15" x14ac:dyDescent="0.25">
      <c r="B16" s="12" t="s">
        <v>21</v>
      </c>
    </row>
    <row r="17" spans="1:15" x14ac:dyDescent="0.25">
      <c r="A17" s="13" t="s">
        <v>36</v>
      </c>
      <c r="B17" s="7" t="s">
        <v>22</v>
      </c>
      <c r="C17" s="18">
        <v>500</v>
      </c>
      <c r="D17" t="b">
        <f>TRUE()</f>
        <v>1</v>
      </c>
      <c r="E17" s="2">
        <v>3</v>
      </c>
      <c r="F17" s="19">
        <f>$C17*E17</f>
        <v>1500</v>
      </c>
      <c r="G17" s="2">
        <f>SUMIF(Приход!$A$2:$A$30,A17,Приход!$C$2:$C$30)</f>
        <v>5</v>
      </c>
      <c r="H17" s="19">
        <f>$C17*G17</f>
        <v>2500</v>
      </c>
      <c r="I17" s="2">
        <f>SUMIF(Расход!$A$2:$A$20,A17,Расход!$C$2:$C$20)</f>
        <v>0</v>
      </c>
      <c r="J17" s="19">
        <f>$C17*I17</f>
        <v>0</v>
      </c>
      <c r="K17" s="2">
        <f>E17+G17-I17</f>
        <v>8</v>
      </c>
      <c r="L17" s="19">
        <f>$C17*K17</f>
        <v>4000</v>
      </c>
      <c r="M17" s="19">
        <f>IF(E17+G17&gt;0,(F17+H17)/(E17+G17),0)</f>
        <v>500</v>
      </c>
      <c r="N17" s="21">
        <f>SUMIF(Приход!$A$2:$A$30,A17,Приход!$H$2:$H$30)</f>
        <v>381.35593220338978</v>
      </c>
      <c r="O17" s="21">
        <f>SUMIF(Приход!$A$2:$A$30,A17,Приход!$G$2:$G$30)</f>
        <v>2118.6440677966102</v>
      </c>
    </row>
    <row r="18" spans="1:15" x14ac:dyDescent="0.25">
      <c r="A18" s="13" t="s">
        <v>37</v>
      </c>
      <c r="B18" s="7" t="s">
        <v>23</v>
      </c>
      <c r="C18" s="18">
        <v>400</v>
      </c>
      <c r="D18" t="b">
        <f>TRUE()</f>
        <v>1</v>
      </c>
      <c r="E18" s="2">
        <v>4</v>
      </c>
      <c r="F18" s="19">
        <f>$C18*E18</f>
        <v>1600</v>
      </c>
      <c r="G18" s="2">
        <f>SUMIF(Приход!$A$2:$A$30,A18,Приход!$C$2:$C$30)</f>
        <v>3</v>
      </c>
      <c r="H18" s="19">
        <f>$C18*G18</f>
        <v>1200</v>
      </c>
      <c r="I18" s="2">
        <f>SUMIF(Расход!$A$2:$A$20,A18,Расход!$C$2:$C$20)</f>
        <v>3</v>
      </c>
      <c r="J18" s="19">
        <f>$C18*I18</f>
        <v>1200</v>
      </c>
      <c r="K18" s="2">
        <f>E18+G18-I18</f>
        <v>4</v>
      </c>
      <c r="L18" s="19">
        <f>$C18*K18</f>
        <v>1600</v>
      </c>
      <c r="M18" s="19">
        <f>IF(E18+G18&gt;0,(F18+H18)/(E18+G18),0)</f>
        <v>400</v>
      </c>
      <c r="N18" s="21">
        <f>SUMIF(Приход!$A$2:$A$30,A18,Приход!$H$2:$H$30)</f>
        <v>183.05084745762701</v>
      </c>
      <c r="O18" s="21">
        <f>SUMIF(Приход!$A$2:$A$30,A18,Приход!$G$2:$G$30)</f>
        <v>1016.949152542373</v>
      </c>
    </row>
    <row r="19" spans="1:15" x14ac:dyDescent="0.25">
      <c r="A19" s="13" t="s">
        <v>38</v>
      </c>
      <c r="B19" s="7" t="s">
        <v>24</v>
      </c>
      <c r="C19" s="18">
        <v>300</v>
      </c>
      <c r="D19" t="b">
        <f>FALSE()</f>
        <v>0</v>
      </c>
      <c r="E19" s="2">
        <v>5</v>
      </c>
      <c r="F19" s="19">
        <f>$C19*E19</f>
        <v>1500</v>
      </c>
      <c r="G19" s="2">
        <f>SUMIF(Приход!$A$2:$A$30,A19,Приход!$C$2:$C$30)</f>
        <v>3</v>
      </c>
      <c r="H19" s="19">
        <f>$C19*G19</f>
        <v>900</v>
      </c>
      <c r="I19" s="2">
        <f>SUMIF(Расход!$A$2:$A$20,A19,Расход!$C$2:$C$20)</f>
        <v>3</v>
      </c>
      <c r="J19" s="19">
        <f>$C19*I19</f>
        <v>900</v>
      </c>
      <c r="K19" s="2">
        <f>E19+G19-I19</f>
        <v>5</v>
      </c>
      <c r="L19" s="19">
        <f>$C19*K19</f>
        <v>1500</v>
      </c>
      <c r="M19" s="19">
        <f>IF(E19+G19&gt;0,(F19+H19)/(E19+G19),0)</f>
        <v>300</v>
      </c>
      <c r="N19" s="21">
        <f>SUMIF(Приход!$A$2:$A$30,A19,Приход!$H$2:$H$30)</f>
        <v>162</v>
      </c>
      <c r="O19" s="21">
        <f>SUMIF(Приход!$A$2:$A$30,A19,Приход!$G$2:$G$30)</f>
        <v>900</v>
      </c>
    </row>
    <row r="20" spans="1:15" x14ac:dyDescent="0.25">
      <c r="A20" s="13" t="s">
        <v>39</v>
      </c>
      <c r="B20" s="7" t="s">
        <v>25</v>
      </c>
      <c r="C20" s="18">
        <v>800</v>
      </c>
      <c r="D20" t="b">
        <f>FALSE()</f>
        <v>0</v>
      </c>
      <c r="E20" s="2">
        <v>7</v>
      </c>
      <c r="F20" s="19">
        <f>$C20*E20</f>
        <v>5600</v>
      </c>
      <c r="G20" s="2">
        <f>SUMIF(Приход!$A$2:$A$30,A20,Приход!$C$2:$C$30)</f>
        <v>5</v>
      </c>
      <c r="H20" s="19">
        <f>$C20*G20</f>
        <v>4000</v>
      </c>
      <c r="I20" s="2">
        <f>SUMIF(Расход!$A$2:$A$20,A20,Расход!$C$2:$C$20)</f>
        <v>1</v>
      </c>
      <c r="J20" s="19">
        <f>$C20*I20</f>
        <v>800</v>
      </c>
      <c r="K20" s="2">
        <f>E20+G20-I20</f>
        <v>11</v>
      </c>
      <c r="L20" s="19">
        <f>$C20*K20</f>
        <v>8800</v>
      </c>
      <c r="M20" s="19">
        <f>IF(E20+G20&gt;0,(F20+H20)/(E20+G20),0)</f>
        <v>800</v>
      </c>
      <c r="N20" s="21">
        <f>SUMIF(Приход!$A$2:$A$30,A20,Приход!$H$2:$H$30)</f>
        <v>720</v>
      </c>
      <c r="O20" s="21">
        <f>SUMIF(Приход!$A$2:$A$30,A20,Приход!$G$2:$G$30)</f>
        <v>4000</v>
      </c>
    </row>
    <row r="21" spans="1:15" x14ac:dyDescent="0.25">
      <c r="A21" s="13" t="s">
        <v>40</v>
      </c>
      <c r="B21" s="7" t="s">
        <v>26</v>
      </c>
      <c r="C21" s="18">
        <v>700</v>
      </c>
      <c r="D21" t="b">
        <f>TRUE()</f>
        <v>1</v>
      </c>
      <c r="E21" s="2">
        <v>8</v>
      </c>
      <c r="F21" s="19">
        <f>$C21*E21</f>
        <v>5600</v>
      </c>
      <c r="G21" s="2">
        <f>SUMIF(Приход!$A$2:$A$30,A21,Приход!$C$2:$C$30)</f>
        <v>4</v>
      </c>
      <c r="H21" s="19">
        <f>$C21*G21</f>
        <v>2800</v>
      </c>
      <c r="I21" s="2">
        <f>SUMIF(Расход!$A$2:$A$20,A21,Расход!$C$2:$C$20)</f>
        <v>3</v>
      </c>
      <c r="J21" s="19">
        <f>$C21*I21</f>
        <v>2100</v>
      </c>
      <c r="K21" s="2">
        <f>E21+G21-I21</f>
        <v>9</v>
      </c>
      <c r="L21" s="19">
        <f>$C21*K21</f>
        <v>6300</v>
      </c>
      <c r="M21" s="19">
        <f>IF(E21+G21&gt;0,(F21+H21)/(E21+G21),0)</f>
        <v>700</v>
      </c>
      <c r="N21" s="21">
        <f>SUMIF(Приход!$A$2:$A$30,A21,Приход!$H$2:$H$30)</f>
        <v>427.11864406779659</v>
      </c>
      <c r="O21" s="21">
        <f>SUMIF(Приход!$A$2:$A$30,A21,Приход!$G$2:$G$30)</f>
        <v>2372.8813559322034</v>
      </c>
    </row>
  </sheetData>
  <mergeCells count="5">
    <mergeCell ref="M1:M2"/>
    <mergeCell ref="E1:F1"/>
    <mergeCell ref="G1:H1"/>
    <mergeCell ref="I1:J1"/>
    <mergeCell ref="K1:L1"/>
  </mergeCells>
  <phoneticPr fontId="0" type="noConversion"/>
  <conditionalFormatting sqref="K5:L21">
    <cfRule type="cellIs" dxfId="0" priority="1" operator="lessThan">
      <formula>0</formula>
    </cfRule>
  </conditionalFormatting>
  <pageMargins left="0.7" right="0.7" top="0.75" bottom="0.75" header="0.3" footer="0.3"/>
  <ignoredErrors>
    <ignoredError sqref="A5:A21" numberStoredAsText="1"/>
    <ignoredError sqref="D6 G5:G21 I5:I21 K5:K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F26" sqref="F26"/>
    </sheetView>
  </sheetViews>
  <sheetFormatPr defaultRowHeight="15" x14ac:dyDescent="0.25"/>
  <cols>
    <col min="1" max="1" width="10.7109375" style="7" customWidth="1"/>
    <col min="2" max="2" width="10.5703125" style="7" customWidth="1"/>
    <col min="3" max="3" width="9.140625" style="9"/>
    <col min="4" max="4" width="17.140625" style="10" customWidth="1"/>
  </cols>
  <sheetData>
    <row r="1" spans="1:4" x14ac:dyDescent="0.25">
      <c r="A1" s="6" t="s">
        <v>8</v>
      </c>
      <c r="B1" s="6" t="s">
        <v>9</v>
      </c>
      <c r="C1" s="6" t="s">
        <v>10</v>
      </c>
      <c r="D1" s="6" t="s">
        <v>11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F30" sqref="F30"/>
    </sheetView>
  </sheetViews>
  <sheetFormatPr defaultRowHeight="15" x14ac:dyDescent="0.25"/>
  <cols>
    <col min="1" max="2" width="9.140625" style="2"/>
  </cols>
  <sheetData>
    <row r="1" spans="1:2" x14ac:dyDescent="0.25">
      <c r="A1" s="16" t="s">
        <v>7</v>
      </c>
      <c r="B1" s="17">
        <v>0.18</v>
      </c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85" zoomScaleNormal="85" workbookViewId="0">
      <selection activeCell="G17" sqref="G17"/>
    </sheetView>
  </sheetViews>
  <sheetFormatPr defaultRowHeight="15" x14ac:dyDescent="0.25"/>
  <cols>
    <col min="1" max="1" width="9.140625" style="1"/>
    <col min="2" max="2" width="12.5703125" style="1" customWidth="1"/>
    <col min="3" max="3" width="11.85546875" style="1" customWidth="1"/>
    <col min="4" max="4" width="13.140625" style="1" bestFit="1" customWidth="1"/>
    <col min="5" max="5" width="11.7109375" style="1" customWidth="1"/>
    <col min="6" max="6" width="14" style="1" customWidth="1"/>
    <col min="7" max="7" width="11.7109375" style="1" customWidth="1"/>
    <col min="8" max="8" width="11.85546875" style="1" customWidth="1"/>
    <col min="9" max="9" width="11.7109375" style="1" bestFit="1" customWidth="1"/>
    <col min="10" max="10" width="13.140625" style="1" customWidth="1"/>
    <col min="11" max="11" width="13.5703125" style="1" customWidth="1"/>
    <col min="12" max="12" width="12.85546875" style="1" customWidth="1"/>
    <col min="13" max="13" width="15" style="1" customWidth="1"/>
  </cols>
  <sheetData>
    <row r="1" spans="1:13" s="2" customFormat="1" ht="33" customHeight="1" thickBot="1" x14ac:dyDescent="0.3">
      <c r="A1" s="23"/>
      <c r="B1" s="23" t="s">
        <v>54</v>
      </c>
      <c r="C1" s="24">
        <v>0.25</v>
      </c>
      <c r="D1" s="23" t="s">
        <v>55</v>
      </c>
      <c r="E1" s="23">
        <v>2</v>
      </c>
      <c r="F1" s="23" t="s">
        <v>56</v>
      </c>
      <c r="G1" s="23">
        <f>1/(C1*E1)</f>
        <v>2</v>
      </c>
      <c r="H1" s="25" t="s">
        <v>57</v>
      </c>
      <c r="I1" s="23">
        <f>1/C1</f>
        <v>4</v>
      </c>
      <c r="J1" s="23" t="s">
        <v>71</v>
      </c>
      <c r="K1" s="29">
        <v>559022</v>
      </c>
      <c r="L1" s="23" t="s">
        <v>58</v>
      </c>
      <c r="M1" s="29">
        <f>K1*0.1</f>
        <v>55902.200000000004</v>
      </c>
    </row>
    <row r="2" spans="1:13" s="22" customFormat="1" ht="59.25" customHeight="1" x14ac:dyDescent="0.25">
      <c r="A2" s="26" t="s">
        <v>53</v>
      </c>
      <c r="B2" s="26" t="s">
        <v>60</v>
      </c>
      <c r="C2" s="26" t="s">
        <v>59</v>
      </c>
      <c r="D2" s="26" t="s">
        <v>61</v>
      </c>
      <c r="E2" s="26" t="s">
        <v>62</v>
      </c>
      <c r="F2" s="26" t="s">
        <v>63</v>
      </c>
      <c r="G2" s="26" t="s">
        <v>64</v>
      </c>
      <c r="H2" s="26" t="s">
        <v>70</v>
      </c>
      <c r="I2" s="26" t="s">
        <v>65</v>
      </c>
      <c r="J2" s="26" t="s">
        <v>66</v>
      </c>
      <c r="K2" s="26" t="s">
        <v>67</v>
      </c>
      <c r="L2" s="26" t="s">
        <v>68</v>
      </c>
      <c r="M2" s="26" t="s">
        <v>69</v>
      </c>
    </row>
    <row r="3" spans="1:13" x14ac:dyDescent="0.25">
      <c r="A3" s="1">
        <v>0</v>
      </c>
      <c r="B3" s="21">
        <f>$K$1</f>
        <v>559022</v>
      </c>
      <c r="C3" s="21">
        <f>$K$1</f>
        <v>559022</v>
      </c>
      <c r="D3" s="1">
        <v>0</v>
      </c>
      <c r="E3" s="28">
        <v>0</v>
      </c>
      <c r="F3" s="21">
        <f>$K$1</f>
        <v>559022</v>
      </c>
      <c r="G3" s="21">
        <f>$K$1</f>
        <v>559022</v>
      </c>
      <c r="H3" s="21">
        <v>0</v>
      </c>
      <c r="I3" s="21">
        <v>0</v>
      </c>
      <c r="J3" s="21">
        <f>$K$1</f>
        <v>559022</v>
      </c>
      <c r="K3" s="21">
        <f>$K$1</f>
        <v>559022</v>
      </c>
      <c r="L3" s="21">
        <v>0</v>
      </c>
      <c r="M3" s="21">
        <v>0</v>
      </c>
    </row>
    <row r="4" spans="1:13" x14ac:dyDescent="0.25">
      <c r="A4" s="1">
        <v>1</v>
      </c>
      <c r="B4" s="21">
        <f>B3-D4</f>
        <v>279511</v>
      </c>
      <c r="C4" s="21">
        <f>C3-E4</f>
        <v>279511</v>
      </c>
      <c r="D4" s="21">
        <f>K1*(C1*E1)</f>
        <v>279511</v>
      </c>
      <c r="E4" s="28">
        <f>SLN(K1,0,1/(C1*E1))</f>
        <v>279511</v>
      </c>
      <c r="F4" s="21">
        <f>F3-H4</f>
        <v>186340.66666666669</v>
      </c>
      <c r="G4" s="21">
        <f>G3-I4</f>
        <v>186340.66666666669</v>
      </c>
      <c r="H4" s="21">
        <f>$K$1*(SUM($A$4:$A$5)-A4)/SUM($A$4:$A$5)</f>
        <v>372681.33333333331</v>
      </c>
      <c r="I4" s="28">
        <f>SYD($K$1,0,G1,A4)</f>
        <v>372681.33333333331</v>
      </c>
      <c r="J4" s="21">
        <f t="shared" ref="J4:K7" si="0">J3-L4</f>
        <v>279511</v>
      </c>
      <c r="K4" s="21">
        <f t="shared" si="0"/>
        <v>279511</v>
      </c>
      <c r="L4" s="21">
        <f>J3*$C$1*$E$1</f>
        <v>279511</v>
      </c>
      <c r="M4" s="28">
        <f>DDB($K$1,0,$I$1,A4,$E$1)</f>
        <v>279511</v>
      </c>
    </row>
    <row r="5" spans="1:13" x14ac:dyDescent="0.25">
      <c r="A5" s="1">
        <v>2</v>
      </c>
      <c r="B5" s="21">
        <f>B4-D5</f>
        <v>0</v>
      </c>
      <c r="C5" s="21">
        <f>C4-E5</f>
        <v>0</v>
      </c>
      <c r="D5" s="21">
        <f>D4</f>
        <v>279511</v>
      </c>
      <c r="E5" s="28">
        <f>E4</f>
        <v>279511</v>
      </c>
      <c r="F5" s="21">
        <f>F4-H5</f>
        <v>0</v>
      </c>
      <c r="G5" s="21">
        <f>G4-I5</f>
        <v>0</v>
      </c>
      <c r="H5" s="21">
        <f>$K$1*(SUM($A$4:$A$5)-A5)/SUM($A$4:$A$5)</f>
        <v>186340.66666666666</v>
      </c>
      <c r="I5" s="28">
        <f>SYD($K$1,0,G1,A5)</f>
        <v>186340.66666666666</v>
      </c>
      <c r="J5" s="21">
        <f t="shared" si="0"/>
        <v>139755.5</v>
      </c>
      <c r="K5" s="21">
        <f t="shared" si="0"/>
        <v>139755.5</v>
      </c>
      <c r="L5" s="21">
        <f>J4*$C$1*$E$1</f>
        <v>139755.5</v>
      </c>
      <c r="M5" s="28">
        <f>DDB($K$1,0,$I$1,A5,$E$1)</f>
        <v>139755.5</v>
      </c>
    </row>
    <row r="6" spans="1:13" x14ac:dyDescent="0.25">
      <c r="A6" s="1">
        <v>3</v>
      </c>
      <c r="B6" s="21"/>
      <c r="C6" s="21"/>
      <c r="D6" s="21"/>
      <c r="E6" s="28"/>
      <c r="F6" s="21"/>
      <c r="G6" s="21"/>
      <c r="H6" s="21"/>
      <c r="I6" s="28"/>
      <c r="J6" s="21">
        <f t="shared" si="0"/>
        <v>69877.75</v>
      </c>
      <c r="K6" s="21">
        <f t="shared" si="0"/>
        <v>69877.75</v>
      </c>
      <c r="L6" s="21">
        <f>J5*$C$1*$E$1</f>
        <v>69877.75</v>
      </c>
      <c r="M6" s="28">
        <f>DDB($K$1,0,$I$1,A6,$E$1)</f>
        <v>69877.75</v>
      </c>
    </row>
    <row r="7" spans="1:13" x14ac:dyDescent="0.25">
      <c r="A7" s="1">
        <v>4</v>
      </c>
      <c r="B7" s="21"/>
      <c r="C7" s="21"/>
      <c r="D7" s="21"/>
      <c r="E7" s="28"/>
      <c r="F7" s="21"/>
      <c r="G7" s="21"/>
      <c r="H7" s="21"/>
      <c r="I7" s="28"/>
      <c r="J7" s="21">
        <f t="shared" si="0"/>
        <v>34938.875</v>
      </c>
      <c r="K7" s="21">
        <f t="shared" si="0"/>
        <v>34938.875</v>
      </c>
      <c r="L7" s="21">
        <f>J6*$C$1*$E$1</f>
        <v>34938.875</v>
      </c>
      <c r="M7" s="28">
        <f>DDB($K$1,0,$I$1,A7,$E$1)</f>
        <v>34938.875</v>
      </c>
    </row>
    <row r="8" spans="1:13" x14ac:dyDescent="0.25">
      <c r="B8" s="21"/>
      <c r="C8" s="21"/>
      <c r="D8" s="21"/>
      <c r="E8" s="28"/>
      <c r="F8" s="21"/>
      <c r="G8" s="21"/>
      <c r="H8" s="21"/>
      <c r="I8" s="28"/>
      <c r="J8" s="21"/>
      <c r="K8" s="21"/>
      <c r="M8" s="28"/>
    </row>
    <row r="9" spans="1:13" x14ac:dyDescent="0.25">
      <c r="A9" s="27" t="s">
        <v>10</v>
      </c>
      <c r="B9" s="30">
        <f>SUM(B3:B7)</f>
        <v>838533</v>
      </c>
      <c r="C9" s="30">
        <f t="shared" ref="C9:M9" si="1">SUM(C3:C7)</f>
        <v>838533</v>
      </c>
      <c r="D9" s="30">
        <f t="shared" si="1"/>
        <v>559022</v>
      </c>
      <c r="E9" s="30">
        <f t="shared" si="1"/>
        <v>559022</v>
      </c>
      <c r="F9" s="30">
        <f t="shared" si="1"/>
        <v>745362.66666666674</v>
      </c>
      <c r="G9" s="30">
        <f t="shared" si="1"/>
        <v>745362.66666666674</v>
      </c>
      <c r="H9" s="30">
        <f t="shared" si="1"/>
        <v>559022</v>
      </c>
      <c r="I9" s="30">
        <f t="shared" si="1"/>
        <v>559022</v>
      </c>
      <c r="J9" s="30">
        <f>SUM(J3:J7)</f>
        <v>1083105.125</v>
      </c>
      <c r="K9" s="30">
        <f t="shared" si="1"/>
        <v>1083105.125</v>
      </c>
      <c r="L9" s="30">
        <f t="shared" si="1"/>
        <v>524083.125</v>
      </c>
      <c r="M9" s="30">
        <f t="shared" si="1"/>
        <v>524083.125</v>
      </c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7" workbookViewId="0">
      <selection activeCell="I17" sqref="I17"/>
    </sheetView>
  </sheetViews>
  <sheetFormatPr defaultRowHeight="15" x14ac:dyDescent="0.25"/>
  <cols>
    <col min="1" max="1" width="12" style="2" customWidth="1"/>
    <col min="2" max="2" width="9.140625" style="2"/>
    <col min="3" max="3" width="9.28515625" style="2" bestFit="1" customWidth="1"/>
    <col min="4" max="4" width="8.5703125" style="2" customWidth="1"/>
    <col min="5" max="5" width="7.7109375" style="2" customWidth="1"/>
    <col min="6" max="6" width="11" style="2" customWidth="1"/>
    <col min="7" max="7" width="10.28515625" style="2" customWidth="1"/>
    <col min="8" max="8" width="9.28515625" style="2" bestFit="1" customWidth="1"/>
    <col min="9" max="9" width="7.42578125" customWidth="1"/>
    <col min="10" max="10" width="43.85546875" customWidth="1"/>
    <col min="11" max="11" width="13.140625" customWidth="1"/>
    <col min="12" max="13" width="11.7109375" style="1" customWidth="1"/>
  </cols>
  <sheetData>
    <row r="1" spans="1:13" ht="30" x14ac:dyDescent="0.25">
      <c r="A1" s="5" t="s">
        <v>72</v>
      </c>
      <c r="B1" s="5" t="s">
        <v>73</v>
      </c>
      <c r="C1" s="5" t="s">
        <v>74</v>
      </c>
      <c r="D1" s="5" t="s">
        <v>75</v>
      </c>
      <c r="E1" s="5" t="s">
        <v>76</v>
      </c>
      <c r="F1" s="5" t="s">
        <v>77</v>
      </c>
      <c r="G1" s="5" t="s">
        <v>78</v>
      </c>
      <c r="H1" s="5" t="s">
        <v>79</v>
      </c>
      <c r="J1" s="42" t="s">
        <v>84</v>
      </c>
      <c r="K1" s="42"/>
      <c r="L1" s="42"/>
      <c r="M1" s="42"/>
    </row>
    <row r="2" spans="1:13" x14ac:dyDescent="0.25">
      <c r="A2" s="2">
        <v>1</v>
      </c>
      <c r="B2" s="2" t="s">
        <v>80</v>
      </c>
      <c r="C2" s="32">
        <v>370000</v>
      </c>
      <c r="D2" s="32">
        <v>75000</v>
      </c>
      <c r="E2" s="32">
        <v>8000</v>
      </c>
      <c r="F2" s="31">
        <v>41531</v>
      </c>
      <c r="G2" s="31">
        <v>41533</v>
      </c>
      <c r="H2" s="33">
        <v>0.18</v>
      </c>
      <c r="J2" s="40" t="s">
        <v>85</v>
      </c>
      <c r="K2" s="40" t="s">
        <v>86</v>
      </c>
      <c r="L2" s="43" t="s">
        <v>87</v>
      </c>
      <c r="M2" s="43"/>
    </row>
    <row r="3" spans="1:13" x14ac:dyDescent="0.25">
      <c r="A3" s="2">
        <v>2</v>
      </c>
      <c r="B3" s="2" t="s">
        <v>81</v>
      </c>
      <c r="C3" s="32">
        <v>100000</v>
      </c>
      <c r="D3" s="32">
        <v>360000</v>
      </c>
      <c r="E3" s="32">
        <v>27000</v>
      </c>
      <c r="F3" s="31">
        <v>41536</v>
      </c>
      <c r="G3" s="31">
        <v>41572</v>
      </c>
      <c r="H3" s="33">
        <v>0.18</v>
      </c>
      <c r="J3" s="40"/>
      <c r="K3" s="40"/>
      <c r="L3" s="35" t="s">
        <v>8</v>
      </c>
      <c r="M3" s="35" t="s">
        <v>9</v>
      </c>
    </row>
    <row r="4" spans="1:13" x14ac:dyDescent="0.25">
      <c r="A4" s="2">
        <v>3</v>
      </c>
      <c r="B4" s="2" t="s">
        <v>82</v>
      </c>
      <c r="C4" s="32">
        <v>82000</v>
      </c>
      <c r="D4" s="32">
        <v>220000</v>
      </c>
      <c r="E4" s="32">
        <v>14000</v>
      </c>
      <c r="F4" s="31">
        <v>41545</v>
      </c>
      <c r="G4" s="31">
        <v>41550</v>
      </c>
      <c r="H4" s="33">
        <v>0.18</v>
      </c>
      <c r="J4" s="36" t="s">
        <v>88</v>
      </c>
      <c r="K4" s="37">
        <f>C2*B8</f>
        <v>121508.00000000001</v>
      </c>
      <c r="L4" s="34">
        <v>62</v>
      </c>
      <c r="M4" s="34" t="s">
        <v>99</v>
      </c>
    </row>
    <row r="5" spans="1:13" x14ac:dyDescent="0.25">
      <c r="J5" s="36" t="s">
        <v>89</v>
      </c>
      <c r="K5" s="37">
        <f>K4-K4/(1+H2)</f>
        <v>18535.118644067799</v>
      </c>
      <c r="L5" s="34" t="s">
        <v>100</v>
      </c>
      <c r="M5" s="34">
        <v>68</v>
      </c>
    </row>
    <row r="6" spans="1:13" x14ac:dyDescent="0.25">
      <c r="J6" s="36" t="s">
        <v>90</v>
      </c>
      <c r="K6" s="37">
        <f>D2</f>
        <v>75000</v>
      </c>
      <c r="L6" s="34" t="s">
        <v>101</v>
      </c>
      <c r="M6" s="34">
        <v>41</v>
      </c>
    </row>
    <row r="7" spans="1:13" x14ac:dyDescent="0.25">
      <c r="A7" s="38" t="s">
        <v>83</v>
      </c>
      <c r="B7" s="6" t="s">
        <v>97</v>
      </c>
      <c r="C7" s="6" t="s">
        <v>98</v>
      </c>
      <c r="J7" s="36" t="s">
        <v>91</v>
      </c>
      <c r="K7" s="39">
        <f>E2</f>
        <v>8000</v>
      </c>
      <c r="L7" s="34" t="s">
        <v>101</v>
      </c>
      <c r="M7" s="34">
        <v>44</v>
      </c>
    </row>
    <row r="8" spans="1:13" x14ac:dyDescent="0.25">
      <c r="A8" s="16" t="s">
        <v>80</v>
      </c>
      <c r="B8" s="16">
        <v>0.32840000000000003</v>
      </c>
      <c r="C8" s="16">
        <v>0.32840000000000003</v>
      </c>
      <c r="J8" s="36" t="s">
        <v>92</v>
      </c>
      <c r="K8" s="37">
        <f>K4-K5-K6-K7</f>
        <v>19972.881355932215</v>
      </c>
      <c r="L8" s="34" t="s">
        <v>102</v>
      </c>
      <c r="M8" s="34">
        <v>99</v>
      </c>
    </row>
    <row r="9" spans="1:13" x14ac:dyDescent="0.25">
      <c r="A9" s="16" t="s">
        <v>81</v>
      </c>
      <c r="B9" s="16">
        <v>43.08</v>
      </c>
      <c r="C9" s="16">
        <v>43.72</v>
      </c>
      <c r="J9" s="36" t="s">
        <v>93</v>
      </c>
      <c r="K9" s="37">
        <f>C2*C8</f>
        <v>121508.00000000001</v>
      </c>
      <c r="L9" s="34">
        <v>51</v>
      </c>
      <c r="M9" s="34">
        <v>62</v>
      </c>
    </row>
    <row r="10" spans="1:13" x14ac:dyDescent="0.25">
      <c r="A10" s="16" t="s">
        <v>82</v>
      </c>
      <c r="B10" s="16">
        <v>5.03</v>
      </c>
      <c r="C10" s="16">
        <v>5.0599999999999996</v>
      </c>
      <c r="J10" s="36" t="s">
        <v>94</v>
      </c>
      <c r="K10" s="37">
        <f>K9-K4</f>
        <v>0</v>
      </c>
      <c r="L10" s="34">
        <v>62</v>
      </c>
      <c r="M10" s="34" t="s">
        <v>99</v>
      </c>
    </row>
    <row r="11" spans="1:13" x14ac:dyDescent="0.25">
      <c r="J11" s="36" t="s">
        <v>95</v>
      </c>
      <c r="K11" s="37">
        <f>K10-K10/(1+H2)</f>
        <v>0</v>
      </c>
      <c r="L11" s="34" t="s">
        <v>100</v>
      </c>
      <c r="M11" s="34">
        <v>68</v>
      </c>
    </row>
    <row r="12" spans="1:13" x14ac:dyDescent="0.25">
      <c r="J12" s="36" t="s">
        <v>96</v>
      </c>
      <c r="K12" s="37">
        <f>K8-K11</f>
        <v>19972.881355932215</v>
      </c>
      <c r="L12" s="34" t="s">
        <v>103</v>
      </c>
      <c r="M12" s="34" t="s">
        <v>104</v>
      </c>
    </row>
    <row r="14" spans="1:13" ht="15.75" x14ac:dyDescent="0.25">
      <c r="J14" s="42" t="s">
        <v>105</v>
      </c>
      <c r="K14" s="42"/>
      <c r="L14" s="42"/>
      <c r="M14" s="42"/>
    </row>
    <row r="15" spans="1:13" x14ac:dyDescent="0.25">
      <c r="J15" s="40" t="s">
        <v>85</v>
      </c>
      <c r="K15" s="40" t="s">
        <v>86</v>
      </c>
      <c r="L15" s="43" t="s">
        <v>87</v>
      </c>
      <c r="M15" s="43"/>
    </row>
    <row r="16" spans="1:13" x14ac:dyDescent="0.25">
      <c r="J16" s="40"/>
      <c r="K16" s="40"/>
      <c r="L16" s="35" t="s">
        <v>8</v>
      </c>
      <c r="M16" s="35" t="s">
        <v>9</v>
      </c>
    </row>
    <row r="17" spans="10:13" x14ac:dyDescent="0.25">
      <c r="J17" s="36" t="s">
        <v>88</v>
      </c>
      <c r="K17" s="37">
        <f>C3*B9</f>
        <v>4308000</v>
      </c>
      <c r="L17" s="34">
        <v>62</v>
      </c>
      <c r="M17" s="34" t="s">
        <v>99</v>
      </c>
    </row>
    <row r="18" spans="10:13" x14ac:dyDescent="0.25">
      <c r="J18" s="36" t="s">
        <v>89</v>
      </c>
      <c r="K18" s="37">
        <f>K17-K17/(1+H3)</f>
        <v>657152.54237288097</v>
      </c>
      <c r="L18" s="34" t="s">
        <v>100</v>
      </c>
      <c r="M18" s="34">
        <v>68</v>
      </c>
    </row>
    <row r="19" spans="10:13" x14ac:dyDescent="0.25">
      <c r="J19" s="36" t="s">
        <v>90</v>
      </c>
      <c r="K19" s="37">
        <f>D3</f>
        <v>360000</v>
      </c>
      <c r="L19" s="34" t="s">
        <v>101</v>
      </c>
      <c r="M19" s="34">
        <v>41</v>
      </c>
    </row>
    <row r="20" spans="10:13" x14ac:dyDescent="0.25">
      <c r="J20" s="36" t="s">
        <v>91</v>
      </c>
      <c r="K20" s="39">
        <f>E3</f>
        <v>27000</v>
      </c>
      <c r="L20" s="34" t="s">
        <v>101</v>
      </c>
      <c r="M20" s="34">
        <v>44</v>
      </c>
    </row>
    <row r="21" spans="10:13" x14ac:dyDescent="0.25">
      <c r="J21" s="36" t="s">
        <v>92</v>
      </c>
      <c r="K21" s="37">
        <f>K17-K18-K19-K20</f>
        <v>3263847.457627119</v>
      </c>
      <c r="L21" s="34" t="s">
        <v>102</v>
      </c>
      <c r="M21" s="34">
        <v>99</v>
      </c>
    </row>
    <row r="22" spans="10:13" x14ac:dyDescent="0.25">
      <c r="J22" s="36" t="s">
        <v>93</v>
      </c>
      <c r="K22" s="37">
        <f>C3*C9</f>
        <v>4372000</v>
      </c>
      <c r="L22" s="34">
        <v>51</v>
      </c>
      <c r="M22" s="34">
        <v>62</v>
      </c>
    </row>
    <row r="23" spans="10:13" x14ac:dyDescent="0.25">
      <c r="J23" s="36" t="s">
        <v>94</v>
      </c>
      <c r="K23" s="37">
        <f>K22-K17</f>
        <v>64000</v>
      </c>
      <c r="L23" s="34">
        <v>62</v>
      </c>
      <c r="M23" s="34" t="s">
        <v>99</v>
      </c>
    </row>
    <row r="24" spans="10:13" x14ac:dyDescent="0.25">
      <c r="J24" s="36" t="s">
        <v>95</v>
      </c>
      <c r="K24" s="37">
        <f>K23-K23/(1+H3)</f>
        <v>9762.7118644067741</v>
      </c>
      <c r="L24" s="34" t="s">
        <v>100</v>
      </c>
      <c r="M24" s="34">
        <v>68</v>
      </c>
    </row>
    <row r="25" spans="10:13" x14ac:dyDescent="0.25">
      <c r="J25" s="36" t="s">
        <v>96</v>
      </c>
      <c r="K25" s="37">
        <f>K21-K24</f>
        <v>3254084.7457627123</v>
      </c>
      <c r="L25" s="34" t="s">
        <v>103</v>
      </c>
      <c r="M25" s="34" t="s">
        <v>104</v>
      </c>
    </row>
    <row r="27" spans="10:13" ht="15.75" x14ac:dyDescent="0.25">
      <c r="J27" s="42" t="s">
        <v>106</v>
      </c>
      <c r="K27" s="42"/>
      <c r="L27" s="42"/>
      <c r="M27" s="42"/>
    </row>
    <row r="28" spans="10:13" x14ac:dyDescent="0.25">
      <c r="J28" s="40" t="s">
        <v>85</v>
      </c>
      <c r="K28" s="40" t="s">
        <v>86</v>
      </c>
      <c r="L28" s="43" t="s">
        <v>87</v>
      </c>
      <c r="M28" s="43"/>
    </row>
    <row r="29" spans="10:13" x14ac:dyDescent="0.25">
      <c r="J29" s="40"/>
      <c r="K29" s="40"/>
      <c r="L29" s="35" t="s">
        <v>8</v>
      </c>
      <c r="M29" s="35" t="s">
        <v>9</v>
      </c>
    </row>
    <row r="30" spans="10:13" x14ac:dyDescent="0.25">
      <c r="J30" s="36" t="s">
        <v>88</v>
      </c>
      <c r="K30" s="37">
        <f>C4*B10</f>
        <v>412460</v>
      </c>
      <c r="L30" s="34">
        <v>62</v>
      </c>
      <c r="M30" s="34" t="s">
        <v>99</v>
      </c>
    </row>
    <row r="31" spans="10:13" x14ac:dyDescent="0.25">
      <c r="J31" s="36" t="s">
        <v>89</v>
      </c>
      <c r="K31" s="37">
        <f>K30-K30/(1+H4)</f>
        <v>62917.627118644072</v>
      </c>
      <c r="L31" s="34" t="s">
        <v>100</v>
      </c>
      <c r="M31" s="34">
        <v>68</v>
      </c>
    </row>
    <row r="32" spans="10:13" x14ac:dyDescent="0.25">
      <c r="J32" s="36" t="s">
        <v>90</v>
      </c>
      <c r="K32" s="37">
        <f>D4</f>
        <v>220000</v>
      </c>
      <c r="L32" s="34" t="s">
        <v>101</v>
      </c>
      <c r="M32" s="34">
        <v>41</v>
      </c>
    </row>
    <row r="33" spans="10:13" x14ac:dyDescent="0.25">
      <c r="J33" s="36" t="s">
        <v>91</v>
      </c>
      <c r="K33" s="39">
        <f>E4</f>
        <v>14000</v>
      </c>
      <c r="L33" s="34" t="s">
        <v>101</v>
      </c>
      <c r="M33" s="34">
        <v>44</v>
      </c>
    </row>
    <row r="34" spans="10:13" x14ac:dyDescent="0.25">
      <c r="J34" s="36" t="s">
        <v>92</v>
      </c>
      <c r="K34" s="37">
        <f>K30-K31-K32-K33</f>
        <v>115542.37288135593</v>
      </c>
      <c r="L34" s="34" t="s">
        <v>102</v>
      </c>
      <c r="M34" s="34">
        <v>99</v>
      </c>
    </row>
    <row r="35" spans="10:13" x14ac:dyDescent="0.25">
      <c r="J35" s="36" t="s">
        <v>93</v>
      </c>
      <c r="K35" s="37">
        <f>C4*C10</f>
        <v>414919.99999999994</v>
      </c>
      <c r="L35" s="34">
        <v>51</v>
      </c>
      <c r="M35" s="34">
        <v>62</v>
      </c>
    </row>
    <row r="36" spans="10:13" x14ac:dyDescent="0.25">
      <c r="J36" s="36" t="s">
        <v>94</v>
      </c>
      <c r="K36" s="37">
        <f>K35-K30</f>
        <v>2459.9999999999418</v>
      </c>
      <c r="L36" s="34">
        <v>62</v>
      </c>
      <c r="M36" s="34" t="s">
        <v>99</v>
      </c>
    </row>
    <row r="37" spans="10:13" x14ac:dyDescent="0.25">
      <c r="J37" s="36" t="s">
        <v>95</v>
      </c>
      <c r="K37" s="37">
        <f>K36-K36/(1+H4)</f>
        <v>375.25423728812666</v>
      </c>
      <c r="L37" s="34" t="s">
        <v>100</v>
      </c>
      <c r="M37" s="34">
        <v>68</v>
      </c>
    </row>
    <row r="38" spans="10:13" x14ac:dyDescent="0.25">
      <c r="J38" s="36" t="s">
        <v>96</v>
      </c>
      <c r="K38" s="37">
        <f>K34-K37</f>
        <v>115167.1186440678</v>
      </c>
      <c r="L38" s="34" t="s">
        <v>103</v>
      </c>
      <c r="M38" s="34" t="s">
        <v>104</v>
      </c>
    </row>
  </sheetData>
  <mergeCells count="12">
    <mergeCell ref="J28:J29"/>
    <mergeCell ref="K28:K29"/>
    <mergeCell ref="L28:M28"/>
    <mergeCell ref="J14:M14"/>
    <mergeCell ref="J15:J16"/>
    <mergeCell ref="K15:K16"/>
    <mergeCell ref="L15:M15"/>
    <mergeCell ref="J1:M1"/>
    <mergeCell ref="L2:M2"/>
    <mergeCell ref="J2:J3"/>
    <mergeCell ref="K2:K3"/>
    <mergeCell ref="J27:M27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Информация</vt:lpstr>
      <vt:lpstr>Приход</vt:lpstr>
      <vt:lpstr>Расход</vt:lpstr>
      <vt:lpstr>Обороты</vt:lpstr>
      <vt:lpstr>Проводки</vt:lpstr>
      <vt:lpstr>Константы</vt:lpstr>
      <vt:lpstr>Амортизация</vt:lpstr>
      <vt:lpstr>Курсовая разница</vt:lpstr>
      <vt:lpstr>НДС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Asya</cp:lastModifiedBy>
  <dcterms:created xsi:type="dcterms:W3CDTF">2016-06-08T11:57:40Z</dcterms:created>
  <dcterms:modified xsi:type="dcterms:W3CDTF">2017-09-22T00:36:27Z</dcterms:modified>
</cp:coreProperties>
</file>